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365cmu-my.sharepoint.com/personal/itthichai_p_cmu_ac_th/Documents/Eak-ET/KPI-smart-city-new/SDG/2565/ปี2565/"/>
    </mc:Choice>
  </mc:AlternateContent>
  <xr:revisionPtr revIDLastSave="131" documentId="13_ncr:1_{F6360F0A-46AC-44EB-8E7A-B8F22EBD9865}" xr6:coauthVersionLast="47" xr6:coauthVersionMax="47" xr10:uidLastSave="{3CC407A7-9A21-446D-8DE4-7F29E2FE21EF}"/>
  <bookViews>
    <workbookView xWindow="-108" yWindow="-108" windowWidth="23256" windowHeight="12456" activeTab="1" xr2:uid="{00000000-000D-0000-FFFF-FFFF00000000}"/>
  </bookViews>
  <sheets>
    <sheet name="สรุป_Consumption" sheetId="1" r:id="rId1"/>
    <sheet name="สรุป_GHG Emission " sheetId="5" r:id="rId2"/>
    <sheet name="Cal_GHG Emission " sheetId="2" r:id="rId3"/>
    <sheet name="Ref.EF" sheetId="4" r:id="rId4"/>
  </sheets>
  <externalReferences>
    <externalReference r:id="rId5"/>
    <externalReference r:id="rId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p">#REF!</definedName>
    <definedName name="\s">#REF!</definedName>
    <definedName name="\x">#REF!</definedName>
    <definedName name="\z">#REF!</definedName>
    <definedName name="_xlnm._FilterDatabase" localSheetId="2" hidden="1">'Cal_GHG Emission '!$A$5:$I$83</definedName>
    <definedName name="_xlnm._FilterDatabase" localSheetId="0" hidden="1">สรุป_Consumption!$A$4:$O$84</definedName>
    <definedName name="A">#REF!</definedName>
    <definedName name="B">#REF!</definedName>
    <definedName name="BTU">'[1]ม.ค.'!$C$2</definedName>
    <definedName name="BTU_16">#REF!</definedName>
    <definedName name="BTU_17">#REF!</definedName>
    <definedName name="BTU_18">#REF!</definedName>
    <definedName name="BTU_19">#REF!</definedName>
    <definedName name="BTU_20">#REF!</definedName>
    <definedName name="BTU_21">#REF!</definedName>
    <definedName name="BTU_22">#REF!</definedName>
    <definedName name="BTU_23">#REF!</definedName>
    <definedName name="BTU_24">#REF!</definedName>
    <definedName name="BTU_25">#REF!</definedName>
    <definedName name="BTU_26">#REF!</definedName>
    <definedName name="C_">#REF!</definedName>
    <definedName name="Cal_16">#REF!</definedName>
    <definedName name="Cal_17">#REF!</definedName>
    <definedName name="Cal_18">#REF!</definedName>
    <definedName name="Cal_19">#REF!</definedName>
    <definedName name="Cal_20">#REF!</definedName>
    <definedName name="Cal_21">#REF!</definedName>
    <definedName name="Cal_22">#REF!</definedName>
    <definedName name="Cal_23">#REF!</definedName>
    <definedName name="Cal_24">#REF!</definedName>
    <definedName name="Cal_25">#REF!</definedName>
    <definedName name="Cal_26">#REF!</definedName>
    <definedName name="CAT">#REF!</definedName>
    <definedName name="D">#REF!</definedName>
    <definedName name="DOG">#REF!</definedName>
    <definedName name="E">#REF!</definedName>
    <definedName name="Ein">#REF!</definedName>
    <definedName name="Eout">#REF!</definedName>
    <definedName name="F">#REF!</definedName>
    <definedName name="Fuel">'[2]ม_ค_ _2_'!#REF!</definedName>
    <definedName name="Fuel_10">'[2]ก_ค_ _2_'!#REF!</definedName>
    <definedName name="Fuel_11">'[2]ส_ค_ _2_'!#REF!</definedName>
    <definedName name="Fuel_12">'[2]ก_ย_ _2_'!#REF!</definedName>
    <definedName name="Fuel_13">'[2]ต_ค_ _2_'!#REF!</definedName>
    <definedName name="Fuel_14">'[2]พ_ย_ _2_'!#REF!</definedName>
    <definedName name="Fuel_15">'[2]ธ_ค_ _2_'!#REF!</definedName>
    <definedName name="Fuel_16">#REF!</definedName>
    <definedName name="Fuel_17">#REF!</definedName>
    <definedName name="Fuel_18">#REF!</definedName>
    <definedName name="Fuel_19">#REF!</definedName>
    <definedName name="Fuel_20">#REF!</definedName>
    <definedName name="Fuel_21">#REF!</definedName>
    <definedName name="Fuel_22">#REF!</definedName>
    <definedName name="Fuel_23">#REF!</definedName>
    <definedName name="Fuel_24">#REF!</definedName>
    <definedName name="Fuel_25">#REF!</definedName>
    <definedName name="Fuel_26">#REF!</definedName>
    <definedName name="Fuel_5">'[2]ก_พ_ _2_'!#REF!</definedName>
    <definedName name="Fuel_6">'[2]ม___ค_ _2_'!#REF!</definedName>
    <definedName name="Fuel_7">'[2]เม_ย_ _2_'!#REF!</definedName>
    <definedName name="Fuel_8">'[2]พ_ค_ _2_'!#REF!</definedName>
    <definedName name="Fuel_9">'[2]ม__ย_ _2_'!#REF!</definedName>
    <definedName name="Fuel_i_10">'[2]ก_ค_ _2_'!#REF!</definedName>
    <definedName name="Fuel_i_11">'[2]ส_ค_ _2_'!#REF!</definedName>
    <definedName name="Fuel_i_12">'[2]ก_ย_ _2_'!#REF!</definedName>
    <definedName name="Fuel_i_13">'[2]ต_ค_ _2_'!#REF!</definedName>
    <definedName name="Fuel_i_14">'[2]พ_ย_ _2_'!#REF!</definedName>
    <definedName name="Fuel_i_15">'[2]ธ_ค_ _2_'!#REF!</definedName>
    <definedName name="Fuel_i_16">#REF!</definedName>
    <definedName name="Fuel_i_17">#REF!</definedName>
    <definedName name="Fuel_i_18">#REF!</definedName>
    <definedName name="Fuel_i_19">#REF!</definedName>
    <definedName name="Fuel_i_20">#REF!</definedName>
    <definedName name="Fuel_i_21">#REF!</definedName>
    <definedName name="Fuel_i_22">#REF!</definedName>
    <definedName name="Fuel_i_23">#REF!</definedName>
    <definedName name="Fuel_i_24">#REF!</definedName>
    <definedName name="Fuel_i_25">#REF!</definedName>
    <definedName name="Fuel_i_26">#REF!</definedName>
    <definedName name="Fuel_i_5">'[2]ก_พ_ _2_'!#REF!</definedName>
    <definedName name="Fuel_i_6">'[2]ม___ค_ _2_'!#REF!</definedName>
    <definedName name="Fuel_i_7">'[2]เม_ย_ _2_'!#REF!</definedName>
    <definedName name="Fuel_i_8">'[2]พ_ค_ _2_'!#REF!</definedName>
    <definedName name="Fuel_i_9">'[2]ม__ย_ _2_'!#REF!</definedName>
    <definedName name="Fuel_in">#REF!</definedName>
    <definedName name="FuelEnergy">#REF!</definedName>
    <definedName name="G">#REF!</definedName>
    <definedName name="Gross">'[2]ม_ค_ _2_'!#REF!</definedName>
    <definedName name="Gross_10">'[2]ก_ค_ _2_'!#REF!</definedName>
    <definedName name="Gross_11">'[2]ส_ค_ _2_'!#REF!</definedName>
    <definedName name="Gross_12">'[2]ก_ย_ _2_'!#REF!</definedName>
    <definedName name="Gross_13">'[2]ต_ค_ _2_'!#REF!</definedName>
    <definedName name="Gross_14">'[2]พ_ย_ _2_'!#REF!</definedName>
    <definedName name="Gross_15">'[2]ธ_ค_ _2_'!#REF!</definedName>
    <definedName name="Gross_16">#REF!</definedName>
    <definedName name="Gross_17">#REF!</definedName>
    <definedName name="Gross_18">#REF!</definedName>
    <definedName name="Gross_19">#REF!</definedName>
    <definedName name="Gross_20">#REF!</definedName>
    <definedName name="Gross_21">#REF!</definedName>
    <definedName name="Gross_22">#REF!</definedName>
    <definedName name="Gross_23">#REF!</definedName>
    <definedName name="Gross_24">#REF!</definedName>
    <definedName name="Gross_25">#REF!</definedName>
    <definedName name="Gross_26">#REF!</definedName>
    <definedName name="Gross_5">'[2]ก_พ_ _2_'!#REF!</definedName>
    <definedName name="Gross_6">'[2]ม___ค_ _2_'!#REF!</definedName>
    <definedName name="Gross_7">'[2]เม_ย_ _2_'!#REF!</definedName>
    <definedName name="Gross_8">'[2]พ_ค_ _2_'!#REF!</definedName>
    <definedName name="Gross_9">'[2]ม__ย_ _2_'!#REF!</definedName>
    <definedName name="H">#REF!</definedName>
    <definedName name="HEAD">#REF!</definedName>
    <definedName name="I">#REF!</definedName>
    <definedName name="J">#REF!</definedName>
    <definedName name="J._16">#REF!</definedName>
    <definedName name="J._17">#REF!</definedName>
    <definedName name="J._18">#REF!</definedName>
    <definedName name="J._19">#REF!</definedName>
    <definedName name="J._20">#REF!</definedName>
    <definedName name="J._21">#REF!</definedName>
    <definedName name="J._22">#REF!</definedName>
    <definedName name="J._23">#REF!</definedName>
    <definedName name="J._24">#REF!</definedName>
    <definedName name="J._25">#REF!</definedName>
    <definedName name="J._26">#REF!</definedName>
    <definedName name="kJ">#REF!</definedName>
    <definedName name="LHV">#REF!</definedName>
    <definedName name="M">#REF!</definedName>
    <definedName name="MONTHL1">#REF!</definedName>
    <definedName name="Net">'[2]ม_ค_ _2_'!#REF!</definedName>
    <definedName name="Net_10">'[2]ก_ค_ _2_'!#REF!</definedName>
    <definedName name="Net_11">'[2]ส_ค_ _2_'!#REF!</definedName>
    <definedName name="Net_12">'[2]ก_ย_ _2_'!#REF!</definedName>
    <definedName name="Net_13">'[2]ต_ค_ _2_'!#REF!</definedName>
    <definedName name="Net_14">'[2]พ_ย_ _2_'!#REF!</definedName>
    <definedName name="Net_15">'[2]ธ_ค_ _2_'!#REF!</definedName>
    <definedName name="Net_16">#REF!</definedName>
    <definedName name="Net_17">#REF!</definedName>
    <definedName name="Net_18">#REF!</definedName>
    <definedName name="Net_19">#REF!</definedName>
    <definedName name="Net_20">#REF!</definedName>
    <definedName name="Net_21">#REF!</definedName>
    <definedName name="Net_22">#REF!</definedName>
    <definedName name="Net_23">#REF!</definedName>
    <definedName name="Net_24">#REF!</definedName>
    <definedName name="Net_25">#REF!</definedName>
    <definedName name="Net_26">#REF!</definedName>
    <definedName name="Net_5">'[2]ก_พ_ _2_'!#REF!</definedName>
    <definedName name="Net_6">'[2]ม___ค_ _2_'!#REF!</definedName>
    <definedName name="Net_7">'[2]เม_ย_ _2_'!#REF!</definedName>
    <definedName name="Net_8">'[2]พ_ค_ _2_'!#REF!</definedName>
    <definedName name="Net_9">'[2]ม__ย_ _2_'!#REF!</definedName>
    <definedName name="PoEnergy">#REF!</definedName>
    <definedName name="Power_10">'[2]ก_ค_ _2_'!#REF!</definedName>
    <definedName name="Power_11">'[2]ส_ค_ _2_'!#REF!</definedName>
    <definedName name="Power_12">'[2]ก_ย_ _2_'!#REF!</definedName>
    <definedName name="Power_13">'[2]ต_ค_ _2_'!#REF!</definedName>
    <definedName name="Power_14">'[2]พ_ย_ _2_'!#REF!</definedName>
    <definedName name="Power_15">'[2]ธ_ค_ _2_'!#REF!</definedName>
    <definedName name="Power_16">#REF!</definedName>
    <definedName name="Power_17">#REF!</definedName>
    <definedName name="Power_18">#REF!</definedName>
    <definedName name="Power_19">#REF!</definedName>
    <definedName name="Power_20">#REF!</definedName>
    <definedName name="Power_21">#REF!</definedName>
    <definedName name="Power_22">#REF!</definedName>
    <definedName name="Power_23">#REF!</definedName>
    <definedName name="Power_24">#REF!</definedName>
    <definedName name="Power_25">#REF!</definedName>
    <definedName name="Power_26">#REF!</definedName>
    <definedName name="Power_5">'[2]ก_พ_ _2_'!#REF!</definedName>
    <definedName name="Power_6">'[2]ม___ค_ _2_'!#REF!</definedName>
    <definedName name="Power_7">'[2]เม_ย_ _2_'!#REF!</definedName>
    <definedName name="Power_8">'[2]พ_ค_ _2_'!#REF!</definedName>
    <definedName name="Power_9">'[2]ม__ย_ _2_'!#REF!</definedName>
    <definedName name="Power_i_10">'[2]ก_ค_ _2_'!#REF!</definedName>
    <definedName name="Power_i_11">'[2]ส_ค_ _2_'!#REF!</definedName>
    <definedName name="Power_i_12">'[2]ก_ย_ _2_'!#REF!</definedName>
    <definedName name="Power_i_13">'[2]ต_ค_ _2_'!#REF!</definedName>
    <definedName name="Power_i_14">'[2]พ_ย_ _2_'!#REF!</definedName>
    <definedName name="Power_i_15">'[2]ธ_ค_ _2_'!#REF!</definedName>
    <definedName name="Power_i_16">#REF!</definedName>
    <definedName name="Power_i_17">#REF!</definedName>
    <definedName name="Power_i_18">#REF!</definedName>
    <definedName name="Power_i_19">#REF!</definedName>
    <definedName name="Power_i_20">#REF!</definedName>
    <definedName name="Power_i_21">#REF!</definedName>
    <definedName name="Power_i_22">#REF!</definedName>
    <definedName name="Power_i_23">#REF!</definedName>
    <definedName name="Power_i_24">#REF!</definedName>
    <definedName name="Power_i_25">#REF!</definedName>
    <definedName name="Power_i_26">#REF!</definedName>
    <definedName name="Power_i_5">'[2]ก_พ_ _2_'!#REF!</definedName>
    <definedName name="Power_i_6">'[2]ม___ค_ _2_'!#REF!</definedName>
    <definedName name="Power_i_7">'[2]เม_ย_ _2_'!#REF!</definedName>
    <definedName name="Power_i_8">'[2]พ_ค_ _2_'!#REF!</definedName>
    <definedName name="Power_i_9">'[2]ม__ย_ _2_'!#REF!</definedName>
    <definedName name="Power_o">'[2]ม_ค_ _2_'!#REF!</definedName>
    <definedName name="Power_o_10">'[2]ก_ค_ _2_'!#REF!</definedName>
    <definedName name="Power_o_11">'[2]ส_ค_ _2_'!#REF!</definedName>
    <definedName name="Power_o_12">'[2]ก_ย_ _2_'!#REF!</definedName>
    <definedName name="Power_o_13">'[2]ต_ค_ _2_'!#REF!</definedName>
    <definedName name="Power_o_14">'[2]พ_ย_ _2_'!#REF!</definedName>
    <definedName name="Power_o_15">'[2]ธ_ค_ _2_'!#REF!</definedName>
    <definedName name="Power_o_16">#REF!</definedName>
    <definedName name="Power_o_17">#REF!</definedName>
    <definedName name="Power_o_18">#REF!</definedName>
    <definedName name="Power_o_19">#REF!</definedName>
    <definedName name="Power_o_20">#REF!</definedName>
    <definedName name="Power_o_21">#REF!</definedName>
    <definedName name="Power_o_22">#REF!</definedName>
    <definedName name="Power_o_23">#REF!</definedName>
    <definedName name="Power_o_24">#REF!</definedName>
    <definedName name="Power_o_25">#REF!</definedName>
    <definedName name="Power_o_26">#REF!</definedName>
    <definedName name="Power_o_5">'[2]ก_พ_ _2_'!#REF!</definedName>
    <definedName name="Power_o_6">'[2]ม___ค_ _2_'!#REF!</definedName>
    <definedName name="Power_o_7">'[2]เม_ย_ _2_'!#REF!</definedName>
    <definedName name="Power_o_8">'[2]พ_ค_ _2_'!#REF!</definedName>
    <definedName name="Power_o_9">'[2]ม__ย_ _2_'!#REF!</definedName>
    <definedName name="Print_Area_MI">#REF!</definedName>
    <definedName name="_xlnm.Print_Titles" localSheetId="2">'Cal_GHG Emission '!$3:$3</definedName>
    <definedName name="_xlnm.Print_Titles" localSheetId="0">สรุป_Consumption!$3:$3</definedName>
    <definedName name="Serv">#REF!</definedName>
    <definedName name="Servc">#REF!</definedName>
    <definedName name="Service_10">'[2]ก_ค_ _2_'!#REF!</definedName>
    <definedName name="Service_11">'[2]ส_ค_ _2_'!#REF!</definedName>
    <definedName name="Service_12">'[2]ก_ย_ _2_'!#REF!</definedName>
    <definedName name="Service_13">'[2]ต_ค_ _2_'!#REF!</definedName>
    <definedName name="Service_14">'[2]พ_ย_ _2_'!#REF!</definedName>
    <definedName name="Service_15">'[2]ธ_ค_ _2_'!#REF!</definedName>
    <definedName name="Service_16">#REF!</definedName>
    <definedName name="Service_17">#REF!</definedName>
    <definedName name="Service_18">#REF!</definedName>
    <definedName name="Service_19">#REF!</definedName>
    <definedName name="Service_20">#REF!</definedName>
    <definedName name="Service_21">#REF!</definedName>
    <definedName name="Service_22">#REF!</definedName>
    <definedName name="Service_23">#REF!</definedName>
    <definedName name="Service_24">#REF!</definedName>
    <definedName name="Service_25">#REF!</definedName>
    <definedName name="Service_26">#REF!</definedName>
    <definedName name="Service_5">'[2]ก_พ_ _2_'!#REF!</definedName>
    <definedName name="Service_6">'[2]ม___ค_ _2_'!#REF!</definedName>
    <definedName name="Service_7">'[2]เม_ย_ _2_'!#REF!</definedName>
    <definedName name="Service_8">'[2]พ_ค_ _2_'!#REF!</definedName>
    <definedName name="Service_9">'[2]ม__ย_ _2_'!#REF!</definedName>
    <definedName name="ThEnergy">#REF!</definedName>
    <definedName name="Thermal">'[2]ม_ค_ _2_'!#REF!</definedName>
    <definedName name="Thermal_10">'[2]ก_ค_ _2_'!#REF!</definedName>
    <definedName name="Thermal_11">'[2]ส_ค_ _2_'!#REF!</definedName>
    <definedName name="Thermal_12">'[2]ก_ย_ _2_'!#REF!</definedName>
    <definedName name="Thermal_13">'[2]ต_ค_ _2_'!#REF!</definedName>
    <definedName name="Thermal_14">'[2]พ_ย_ _2_'!#REF!</definedName>
    <definedName name="Thermal_15">'[2]ธ_ค_ _2_'!#REF!</definedName>
    <definedName name="Thermal_16">#REF!</definedName>
    <definedName name="Thermal_17">#REF!</definedName>
    <definedName name="Thermal_18">#REF!</definedName>
    <definedName name="Thermal_19">#REF!</definedName>
    <definedName name="Thermal_20">#REF!</definedName>
    <definedName name="Thermal_21">#REF!</definedName>
    <definedName name="Thermal_22">#REF!</definedName>
    <definedName name="Thermal_23">#REF!</definedName>
    <definedName name="Thermal_24">#REF!</definedName>
    <definedName name="Thermal_25">#REF!</definedName>
    <definedName name="Thermal_26">#REF!</definedName>
    <definedName name="Thermal_5">'[2]ก_พ_ _2_'!#REF!</definedName>
    <definedName name="Thermal_6">'[2]ม___ค_ _2_'!#REF!</definedName>
    <definedName name="Thermal_7">'[2]เม_ย_ _2_'!#REF!</definedName>
    <definedName name="Thermal_8">'[2]พ_ค_ _2_'!#REF!</definedName>
    <definedName name="Thermal_9">'[2]ม__ย_ _2_'!#REF!</definedName>
    <definedName name="Thermal_i_10">'[2]ก_ค_ _2_'!#REF!</definedName>
    <definedName name="Thermal_i_11">'[2]ส_ค_ _2_'!#REF!</definedName>
    <definedName name="Thermal_i_12">'[2]ก_ย_ _2_'!#REF!</definedName>
    <definedName name="Thermal_i_13">'[2]ต_ค_ _2_'!#REF!</definedName>
    <definedName name="Thermal_i_14">'[2]พ_ย_ _2_'!#REF!</definedName>
    <definedName name="Thermal_i_15">'[2]ธ_ค_ _2_'!#REF!</definedName>
    <definedName name="Thermal_i_16">#REF!</definedName>
    <definedName name="Thermal_i_17">#REF!</definedName>
    <definedName name="Thermal_i_18">#REF!</definedName>
    <definedName name="Thermal_i_19">#REF!</definedName>
    <definedName name="Thermal_i_20">#REF!</definedName>
    <definedName name="Thermal_i_21">#REF!</definedName>
    <definedName name="Thermal_i_22">#REF!</definedName>
    <definedName name="Thermal_i_23">#REF!</definedName>
    <definedName name="Thermal_i_24">#REF!</definedName>
    <definedName name="Thermal_i_25">#REF!</definedName>
    <definedName name="Thermal_i_26">#REF!</definedName>
    <definedName name="Thermal_i_5">'[2]ก_พ_ _2_'!#REF!</definedName>
    <definedName name="Thermal_i_6">'[2]ม___ค_ _2_'!#REF!</definedName>
    <definedName name="Thermal_i_7">'[2]เม_ย_ _2_'!#REF!</definedName>
    <definedName name="Thermal_i_8">'[2]พ_ค_ _2_'!#REF!</definedName>
    <definedName name="Thermal_i_9">'[2]ม__ย_ _2_'!#REF!</definedName>
    <definedName name="Thermal_o">'[2]ม_ค_ _2_'!#REF!</definedName>
    <definedName name="Thermal_o_10">'[2]ก_ค_ _2_'!#REF!</definedName>
    <definedName name="Thermal_o_11">'[2]ส_ค_ _2_'!#REF!</definedName>
    <definedName name="Thermal_o_12">'[2]ก_ย_ _2_'!#REF!</definedName>
    <definedName name="Thermal_o_13">'[2]ต_ค_ _2_'!#REF!</definedName>
    <definedName name="Thermal_o_14">'[2]พ_ย_ _2_'!#REF!</definedName>
    <definedName name="Thermal_o_15">'[2]ธ_ค_ _2_'!#REF!</definedName>
    <definedName name="Thermal_o_16">#REF!</definedName>
    <definedName name="Thermal_o_17">#REF!</definedName>
    <definedName name="Thermal_o_18">#REF!</definedName>
    <definedName name="Thermal_o_19">#REF!</definedName>
    <definedName name="Thermal_o_20">#REF!</definedName>
    <definedName name="Thermal_o_21">#REF!</definedName>
    <definedName name="Thermal_o_22">#REF!</definedName>
    <definedName name="Thermal_o_23">#REF!</definedName>
    <definedName name="Thermal_o_24">#REF!</definedName>
    <definedName name="Thermal_o_25">#REF!</definedName>
    <definedName name="Thermal_o_26">#REF!</definedName>
    <definedName name="Thermal_o_5">'[2]ก_พ_ _2_'!#REF!</definedName>
    <definedName name="Thermal_o_6">'[2]ม___ค_ _2_'!#REF!</definedName>
    <definedName name="Thermal_o_7">'[2]เม_ย_ _2_'!#REF!</definedName>
    <definedName name="Thermal_o_8">'[2]พ_ค_ _2_'!#REF!</definedName>
    <definedName name="Thermal_o_9">'[2]ม__ย_ _2_'!#REF!</definedName>
    <definedName name="Tin">#REF!</definedName>
    <definedName name="Tout">#REF!</definedName>
    <definedName name="X">#REF!</definedName>
    <definedName name="Y">#REF!</definedName>
    <definedName name="Z">#REF!</definedName>
    <definedName name="Z_BOR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0" i="5"/>
  <c r="L9" i="5"/>
  <c r="L8" i="5"/>
  <c r="L7" i="5"/>
  <c r="L6" i="5"/>
  <c r="L5" i="5"/>
  <c r="N15" i="5"/>
  <c r="N19" i="5" s="1"/>
  <c r="N10" i="5"/>
  <c r="N9" i="5"/>
  <c r="N8" i="5"/>
  <c r="N7" i="5"/>
  <c r="N6" i="5"/>
  <c r="N5" i="5"/>
  <c r="J19" i="5"/>
  <c r="L19" i="5"/>
  <c r="P19" i="5"/>
  <c r="P15" i="5"/>
  <c r="P10" i="5"/>
  <c r="P9" i="5"/>
  <c r="P8" i="5"/>
  <c r="P7" i="5"/>
  <c r="P6" i="5"/>
  <c r="P5" i="5"/>
  <c r="R10" i="5"/>
  <c r="R9" i="5"/>
  <c r="R8" i="5"/>
  <c r="R7" i="5"/>
  <c r="R6" i="5"/>
  <c r="R5" i="5"/>
  <c r="R15" i="5"/>
  <c r="Q19" i="5"/>
  <c r="R19" i="5"/>
  <c r="G143" i="4"/>
  <c r="G139" i="4"/>
  <c r="G138" i="4"/>
  <c r="G137" i="4"/>
  <c r="J29" i="2"/>
  <c r="K29" i="2"/>
  <c r="L29" i="2"/>
  <c r="M29" i="2"/>
  <c r="N29" i="2"/>
  <c r="I29" i="2"/>
  <c r="J26" i="2"/>
  <c r="K26" i="2"/>
  <c r="L26" i="2"/>
  <c r="M26" i="2"/>
  <c r="N26" i="2"/>
  <c r="I26" i="2"/>
  <c r="G141" i="4"/>
  <c r="N40" i="2" l="1"/>
  <c r="I9" i="5"/>
  <c r="I8" i="5"/>
  <c r="K8" i="5"/>
  <c r="M8" i="5"/>
  <c r="O8" i="5"/>
  <c r="Q8" i="5"/>
  <c r="N28" i="2"/>
  <c r="M28" i="2"/>
  <c r="N27" i="2"/>
  <c r="M27" i="2"/>
  <c r="N24" i="2"/>
  <c r="M24" i="2"/>
  <c r="N22" i="2"/>
  <c r="Q10" i="5" s="1"/>
  <c r="M22" i="2"/>
  <c r="K19" i="2"/>
  <c r="L19" i="2"/>
  <c r="M19" i="2"/>
  <c r="N19" i="2"/>
  <c r="J19" i="2"/>
  <c r="M15" i="2"/>
  <c r="L15" i="2"/>
  <c r="M14" i="2"/>
  <c r="L14" i="2"/>
  <c r="K15" i="2"/>
  <c r="K14" i="2"/>
  <c r="N15" i="2"/>
  <c r="N14" i="2"/>
  <c r="N7" i="2"/>
  <c r="N6" i="2"/>
  <c r="N43" i="1"/>
  <c r="N53" i="1" l="1"/>
  <c r="N54" i="1"/>
  <c r="N55" i="1"/>
  <c r="N56" i="1"/>
  <c r="N57" i="1"/>
  <c r="K23" i="1"/>
  <c r="L23" i="1"/>
  <c r="M23" i="1"/>
  <c r="J23" i="1"/>
  <c r="K43" i="1" l="1"/>
  <c r="M45" i="1"/>
  <c r="K45" i="1"/>
  <c r="J43" i="1"/>
  <c r="J45" i="1"/>
  <c r="M43" i="1"/>
  <c r="L43" i="1"/>
  <c r="M57" i="1"/>
  <c r="M56" i="1"/>
  <c r="M55" i="1"/>
  <c r="M54" i="1"/>
  <c r="M53" i="1"/>
  <c r="L45" i="1" l="1"/>
  <c r="J42" i="1" l="1"/>
  <c r="K53" i="1" l="1"/>
  <c r="L53" i="1"/>
  <c r="K54" i="1"/>
  <c r="L54" i="1"/>
  <c r="K55" i="1"/>
  <c r="L55" i="1"/>
  <c r="K56" i="1"/>
  <c r="L56" i="1"/>
  <c r="K57" i="1"/>
  <c r="L57" i="1"/>
  <c r="Q11" i="5"/>
  <c r="O11" i="5"/>
  <c r="M11" i="5"/>
  <c r="K11" i="5"/>
  <c r="O10" i="5"/>
  <c r="Q6" i="5"/>
  <c r="O6" i="5"/>
  <c r="M6" i="5"/>
  <c r="K6" i="5"/>
  <c r="Q5" i="5"/>
  <c r="N46" i="2" l="1"/>
  <c r="Q15" i="5" s="1"/>
  <c r="M46" i="2"/>
  <c r="O15" i="5" s="1"/>
  <c r="L46" i="2"/>
  <c r="M15" i="5" s="1"/>
  <c r="K46" i="2"/>
  <c r="K15" i="5" s="1"/>
  <c r="N47" i="2"/>
  <c r="M47" i="2"/>
  <c r="L47" i="2"/>
  <c r="K47" i="2"/>
  <c r="J47" i="2"/>
  <c r="I47" i="2"/>
  <c r="H47" i="2"/>
  <c r="E155" i="4" l="1"/>
  <c r="G140" i="4"/>
  <c r="G142" i="4"/>
  <c r="E23" i="4"/>
  <c r="F23" i="4"/>
  <c r="D23" i="4"/>
  <c r="G23" i="4" s="1"/>
  <c r="H6" i="4"/>
  <c r="E16" i="4"/>
  <c r="F16" i="4"/>
  <c r="D16" i="4"/>
  <c r="G16" i="4" s="1"/>
  <c r="D15" i="4"/>
  <c r="E13" i="4"/>
  <c r="F13" i="4"/>
  <c r="D13" i="4"/>
  <c r="G13" i="4" s="1"/>
  <c r="J24" i="2" l="1"/>
  <c r="L24" i="2"/>
  <c r="K24" i="2"/>
  <c r="K22" i="2"/>
  <c r="L22" i="2"/>
  <c r="K28" i="2"/>
  <c r="J28" i="2"/>
  <c r="L28" i="2"/>
  <c r="L27" i="2"/>
  <c r="K27" i="2"/>
  <c r="J27" i="2"/>
  <c r="Q9" i="5"/>
  <c r="M40" i="2"/>
  <c r="O9" i="5" s="1"/>
  <c r="L40" i="2"/>
  <c r="M9" i="5" s="1"/>
  <c r="K40" i="2"/>
  <c r="K9" i="5" s="1"/>
  <c r="E161" i="4"/>
  <c r="J46" i="2"/>
  <c r="I15" i="5" s="1"/>
  <c r="M10" i="5" l="1"/>
  <c r="K10" i="5"/>
  <c r="J57" i="1"/>
  <c r="J56" i="1"/>
  <c r="J55" i="2"/>
  <c r="J55" i="1"/>
  <c r="J54" i="2" s="1"/>
  <c r="I55" i="1"/>
  <c r="I54" i="2" s="1"/>
  <c r="I54" i="1"/>
  <c r="I53" i="2" s="1"/>
  <c r="J54" i="1"/>
  <c r="J53" i="2" s="1"/>
  <c r="I53" i="1"/>
  <c r="I52" i="2" s="1"/>
  <c r="J53" i="1"/>
  <c r="J52" i="2" s="1"/>
  <c r="H55" i="1"/>
  <c r="H54" i="2" s="1"/>
  <c r="H54" i="1"/>
  <c r="H53" i="2" s="1"/>
  <c r="H53" i="1"/>
  <c r="H52" i="2" s="1"/>
  <c r="J56" i="2"/>
  <c r="I55" i="2"/>
  <c r="I56" i="2"/>
  <c r="H55" i="2"/>
  <c r="H56" i="2"/>
  <c r="I11" i="5" l="1"/>
  <c r="C33" i="5" l="1"/>
  <c r="D33" i="5" s="1"/>
  <c r="C32" i="5"/>
  <c r="D32" i="5" s="1"/>
  <c r="B27" i="5" l="1"/>
  <c r="B28" i="5" s="1"/>
  <c r="B23" i="5"/>
  <c r="B17" i="5" s="1"/>
  <c r="D17" i="5" s="1"/>
  <c r="B22" i="5"/>
  <c r="B18" i="5" s="1"/>
  <c r="D15" i="5"/>
  <c r="B25" i="5" l="1"/>
  <c r="D18" i="5"/>
  <c r="B24" i="5"/>
  <c r="B26" i="5" s="1"/>
  <c r="H35" i="2"/>
  <c r="H36" i="2"/>
  <c r="E157" i="4"/>
  <c r="I35" i="2" l="1"/>
  <c r="E160" i="4"/>
  <c r="I36" i="2"/>
  <c r="H37" i="2"/>
  <c r="I33" i="2"/>
  <c r="I31" i="2"/>
  <c r="H32" i="2"/>
  <c r="I38" i="2"/>
  <c r="H38" i="2"/>
  <c r="I34" i="2"/>
  <c r="I37" i="2"/>
  <c r="H33" i="2"/>
  <c r="H31" i="2"/>
  <c r="H34" i="2"/>
  <c r="I32" i="2"/>
  <c r="H40" i="2" l="1"/>
  <c r="E9" i="5" s="1"/>
  <c r="J40" i="2"/>
  <c r="I40" i="2"/>
  <c r="G9" i="5" s="1"/>
  <c r="D9" i="5" s="1"/>
  <c r="I27" i="2"/>
  <c r="I28" i="2"/>
  <c r="I46" i="2"/>
  <c r="G15" i="5" s="1"/>
  <c r="H46" i="2"/>
  <c r="E15" i="5" s="1"/>
  <c r="G114" i="4"/>
  <c r="E108" i="4"/>
  <c r="F108" i="4"/>
  <c r="F31" i="4"/>
  <c r="F32" i="4" s="1"/>
  <c r="G74" i="4"/>
  <c r="F29" i="4" s="1"/>
  <c r="F50" i="4"/>
  <c r="E50" i="4"/>
  <c r="D50" i="4"/>
  <c r="F48" i="4"/>
  <c r="E48" i="4"/>
  <c r="D48" i="4"/>
  <c r="F47" i="4"/>
  <c r="E47" i="4"/>
  <c r="D47" i="4"/>
  <c r="F46" i="4"/>
  <c r="E46" i="4"/>
  <c r="D46" i="4"/>
  <c r="G46" i="4" s="1"/>
  <c r="F45" i="4"/>
  <c r="E45" i="4"/>
  <c r="D45" i="4"/>
  <c r="F43" i="4"/>
  <c r="E43" i="4"/>
  <c r="D43" i="4"/>
  <c r="F42" i="4"/>
  <c r="E42" i="4"/>
  <c r="D42" i="4"/>
  <c r="F41" i="4"/>
  <c r="E41" i="4"/>
  <c r="D41" i="4"/>
  <c r="F40" i="4"/>
  <c r="E40" i="4"/>
  <c r="D40" i="4"/>
  <c r="F38" i="4"/>
  <c r="E38" i="4"/>
  <c r="D38" i="4"/>
  <c r="F37" i="4"/>
  <c r="E37" i="4"/>
  <c r="D37" i="4"/>
  <c r="F36" i="4"/>
  <c r="E36" i="4"/>
  <c r="D36" i="4"/>
  <c r="G36" i="4" s="1"/>
  <c r="F35" i="4"/>
  <c r="E35" i="4"/>
  <c r="D35" i="4"/>
  <c r="F30" i="4"/>
  <c r="E30" i="4"/>
  <c r="D30" i="4"/>
  <c r="F28" i="4"/>
  <c r="E28" i="4"/>
  <c r="D28" i="4"/>
  <c r="F27" i="4"/>
  <c r="E27" i="4"/>
  <c r="D27" i="4"/>
  <c r="F26" i="4"/>
  <c r="E26" i="4"/>
  <c r="D26" i="4"/>
  <c r="F21" i="4"/>
  <c r="F22" i="4" s="1"/>
  <c r="E21" i="4"/>
  <c r="E22" i="4" s="1"/>
  <c r="D21" i="4"/>
  <c r="F20" i="4"/>
  <c r="E20" i="4"/>
  <c r="D20" i="4"/>
  <c r="F19" i="4"/>
  <c r="E19" i="4"/>
  <c r="D19" i="4"/>
  <c r="G19" i="4" s="1"/>
  <c r="F18" i="4"/>
  <c r="E18" i="4"/>
  <c r="D18" i="4"/>
  <c r="F17" i="4"/>
  <c r="E17" i="4"/>
  <c r="D17" i="4"/>
  <c r="F15" i="4"/>
  <c r="E15" i="4"/>
  <c r="F14" i="4"/>
  <c r="E14" i="4"/>
  <c r="D14" i="4"/>
  <c r="F12" i="4"/>
  <c r="E12" i="4"/>
  <c r="D12" i="4"/>
  <c r="G26" i="4" l="1"/>
  <c r="G40" i="4"/>
  <c r="G50" i="4"/>
  <c r="G37" i="4"/>
  <c r="G12" i="4"/>
  <c r="G47" i="4"/>
  <c r="L42" i="2"/>
  <c r="N42" i="2"/>
  <c r="M44" i="2"/>
  <c r="L44" i="2"/>
  <c r="M42" i="2"/>
  <c r="N44" i="2"/>
  <c r="K42" i="2"/>
  <c r="K44" i="2"/>
  <c r="G108" i="4"/>
  <c r="G38" i="4"/>
  <c r="G48" i="4"/>
  <c r="G28" i="4"/>
  <c r="G42" i="4"/>
  <c r="G30" i="4"/>
  <c r="G43" i="4"/>
  <c r="G27" i="4"/>
  <c r="G41" i="4"/>
  <c r="G18" i="4"/>
  <c r="G35" i="4"/>
  <c r="G45" i="4"/>
  <c r="D22" i="4"/>
  <c r="G22" i="4" s="1"/>
  <c r="G21" i="4"/>
  <c r="G15" i="4"/>
  <c r="M6" i="2" s="1"/>
  <c r="G17" i="4"/>
  <c r="G20" i="4"/>
  <c r="G14" i="4"/>
  <c r="I24" i="2"/>
  <c r="J44" i="2"/>
  <c r="J42" i="2"/>
  <c r="I22" i="2"/>
  <c r="J22" i="2"/>
  <c r="H24" i="2"/>
  <c r="H28" i="2"/>
  <c r="H22" i="2"/>
  <c r="H27" i="2"/>
  <c r="D29" i="4"/>
  <c r="E29" i="4"/>
  <c r="D31" i="4"/>
  <c r="E31" i="4"/>
  <c r="E32" i="4" s="1"/>
  <c r="J41" i="2" l="1"/>
  <c r="I7" i="5" s="1"/>
  <c r="L41" i="2"/>
  <c r="M7" i="5" s="1"/>
  <c r="K41" i="2"/>
  <c r="K7" i="5" s="1"/>
  <c r="N41" i="2"/>
  <c r="Q7" i="5" s="1"/>
  <c r="M41" i="2"/>
  <c r="O7" i="5" s="1"/>
  <c r="I10" i="5"/>
  <c r="M7" i="2"/>
  <c r="O5" i="5" s="1"/>
  <c r="L7" i="2"/>
  <c r="K7" i="2"/>
  <c r="G29" i="4"/>
  <c r="I14" i="2" s="1"/>
  <c r="D32" i="4"/>
  <c r="G32" i="4" s="1"/>
  <c r="G31" i="4"/>
  <c r="G10" i="5"/>
  <c r="D10" i="5" s="1"/>
  <c r="I15" i="2"/>
  <c r="J15" i="2"/>
  <c r="I7" i="2"/>
  <c r="J7" i="2"/>
  <c r="I6" i="2"/>
  <c r="K6" i="2"/>
  <c r="L6" i="2"/>
  <c r="J6" i="2"/>
  <c r="H6" i="2"/>
  <c r="E10" i="5"/>
  <c r="H15" i="2"/>
  <c r="H7" i="2"/>
  <c r="K5" i="5" l="1"/>
  <c r="K19" i="5" s="1"/>
  <c r="O19" i="5"/>
  <c r="M5" i="5"/>
  <c r="M19" i="5" s="1"/>
  <c r="G5" i="5"/>
  <c r="D5" i="5" s="1"/>
  <c r="E5" i="5"/>
  <c r="I5" i="5"/>
  <c r="G6" i="5"/>
  <c r="D6" i="5" s="1"/>
  <c r="H14" i="2"/>
  <c r="E6" i="5" s="1"/>
  <c r="J14" i="2"/>
  <c r="I6" i="5" s="1"/>
  <c r="I19" i="5" l="1"/>
  <c r="I79" i="1"/>
  <c r="I44" i="2"/>
  <c r="H45" i="1"/>
  <c r="H44" i="2" s="1"/>
  <c r="I42" i="2"/>
  <c r="G8" i="5" s="1"/>
  <c r="D8" i="5" s="1"/>
  <c r="H43" i="1"/>
  <c r="H42" i="2" s="1"/>
  <c r="E8" i="5" s="1"/>
  <c r="I42" i="1"/>
  <c r="I41" i="2" s="1"/>
  <c r="H42" i="1"/>
  <c r="H41" i="2" s="1"/>
  <c r="J6" i="5" l="1"/>
  <c r="L11" i="5"/>
  <c r="R16" i="5"/>
  <c r="R12" i="5"/>
  <c r="P16" i="5"/>
  <c r="P12" i="5"/>
  <c r="R13" i="5"/>
  <c r="P13" i="5"/>
  <c r="R11" i="5"/>
  <c r="P11" i="5"/>
  <c r="J15" i="5"/>
  <c r="J7" i="5"/>
  <c r="J8" i="5"/>
  <c r="N12" i="5"/>
  <c r="L12" i="5"/>
  <c r="J9" i="5"/>
  <c r="N11" i="5"/>
  <c r="J13" i="5"/>
  <c r="J12" i="5"/>
  <c r="N16" i="5"/>
  <c r="J11" i="5"/>
  <c r="J10" i="5"/>
  <c r="J5" i="5"/>
  <c r="L13" i="5"/>
  <c r="L16" i="5"/>
  <c r="J16" i="5"/>
  <c r="N13" i="5"/>
  <c r="E7" i="5"/>
  <c r="H84" i="2"/>
  <c r="G7" i="5"/>
  <c r="D7" i="5" s="1"/>
  <c r="D19" i="5" s="1"/>
  <c r="I84" i="2"/>
  <c r="G22" i="5" l="1"/>
  <c r="G23" i="5" s="1"/>
  <c r="D22" i="5"/>
  <c r="O84" i="2"/>
  <c r="G19" i="5"/>
  <c r="E19" i="5"/>
  <c r="H15" i="5" l="1"/>
  <c r="F7" i="5"/>
  <c r="F10" i="5"/>
  <c r="H9" i="5"/>
  <c r="H10" i="5"/>
  <c r="H6" i="5"/>
  <c r="H5" i="5"/>
  <c r="H8" i="5"/>
  <c r="F9" i="5"/>
  <c r="F15" i="5"/>
  <c r="F6" i="5"/>
  <c r="F5" i="5"/>
  <c r="F8" i="5"/>
  <c r="H7" i="5"/>
  <c r="F19" i="5" l="1"/>
  <c r="H19" i="5"/>
</calcChain>
</file>

<file path=xl/sharedStrings.xml><?xml version="1.0" encoding="utf-8"?>
<sst xmlns="http://schemas.openxmlformats.org/spreadsheetml/2006/main" count="1004" uniqueCount="282">
  <si>
    <t>-</t>
  </si>
  <si>
    <t xml:space="preserve">หน่วย </t>
  </si>
  <si>
    <t xml:space="preserve">น้ำมันเตา </t>
  </si>
  <si>
    <t xml:space="preserve">น้ำมันดีเซล </t>
  </si>
  <si>
    <t>ลิตร/ปี</t>
  </si>
  <si>
    <t xml:space="preserve">ลิตร/ปี </t>
  </si>
  <si>
    <t>อื่น ๆ (ระบุชนิดเชื้อเพลิง)</t>
  </si>
  <si>
    <t>น้ำมันก๊าด</t>
  </si>
  <si>
    <t xml:space="preserve">แอลกอฮอล์ </t>
  </si>
  <si>
    <t>น้ำมันเบนซิน (แก๊สโซลีน &amp; แก๊สโซฮอล์)</t>
  </si>
  <si>
    <t xml:space="preserve">ก๊าซหุงต้ม (LPG) </t>
  </si>
  <si>
    <t xml:space="preserve">ก๊าซธรรมชาติ (NGV) </t>
  </si>
  <si>
    <t>ไบโอดีเซล</t>
  </si>
  <si>
    <t xml:space="preserve">ก๊าซไบโอมีเทนอัด (CBG) </t>
  </si>
  <si>
    <t xml:space="preserve">ก๊าซชีวภาพ (Biogas) </t>
  </si>
  <si>
    <t>กิโลกรัม/ปี</t>
  </si>
  <si>
    <t xml:space="preserve">ลูกบาศก์ฟุต/ปี </t>
  </si>
  <si>
    <t>โปรดระบุ</t>
  </si>
  <si>
    <t xml:space="preserve">การเลี้ยงสัตว์ </t>
  </si>
  <si>
    <t>กระบือ</t>
  </si>
  <si>
    <t>โค</t>
  </si>
  <si>
    <t xml:space="preserve">สุกร </t>
  </si>
  <si>
    <t xml:space="preserve">เป็ด </t>
  </si>
  <si>
    <t xml:space="preserve">ไก่ </t>
  </si>
  <si>
    <t>แพะ</t>
  </si>
  <si>
    <t xml:space="preserve">การจัดการของเสีย </t>
  </si>
  <si>
    <t>การเผาไหม้เชื้อเพลิง (Stationary Combustion)  เช่น Boiler, Diesel Gen., Fire Pump, เครื่องตัดหญ้า, ตะเกียง</t>
  </si>
  <si>
    <t xml:space="preserve">การเผาไหม้เชื้อเพลิง (Mobile Combustion)  เช่น รถตู้, รถกระบะ, มอเตอร์ไซด์ </t>
  </si>
  <si>
    <t>จำนวนนักศึกษาที่ลงทะเบียนในเทอมที่ 2/2559</t>
  </si>
  <si>
    <t>จำนวนนักศึกษาที่ลงทะเบียนในเทอมที่ 3/2559</t>
  </si>
  <si>
    <t>จำนวนนักศึกษาที่ลงทะเบียนในเทอมที่ 1/2560</t>
  </si>
  <si>
    <t>จำนวนผู้ป่วยในที่เข้ามารับบริการ</t>
  </si>
  <si>
    <t xml:space="preserve">จำนวนผู้ป่วยนอกที่เข้ามารับบริการ </t>
  </si>
  <si>
    <t xml:space="preserve">ปริมาณการใช้น้ำ </t>
  </si>
  <si>
    <t>ปริมาณขยะติดเชื้อที่ป้อนเข้าสู่เตาเผา</t>
  </si>
  <si>
    <t>ปริมาณขยะชุมชนที่เกิดขึ้น</t>
  </si>
  <si>
    <t>ปริมาณขยะชุมชนที่ป้อนเข้าสู่เตาเผา</t>
  </si>
  <si>
    <t xml:space="preserve">ปริมาณขยะชุมชนที่ส่งไปกำจัดภายนอก </t>
  </si>
  <si>
    <t>การใช้ไฟฟ้า</t>
  </si>
  <si>
    <t>ปริมาณไฟฟ้าที่ถูกเรียกเก็บจากใบเสร็จใบที่ 1</t>
  </si>
  <si>
    <t>ปริมาณไฟฟ้าที่ถูกเรียกเก็บจากใบเสร็จใบที่ 2</t>
  </si>
  <si>
    <t>ปริมาณไฟฟ้าที่ถูกเรียกเก็บจากใบเสร็จใบที่ 3</t>
  </si>
  <si>
    <t>ปริมาณไฟฟ้าที่ถูกเรียกเก็บจากใบเสร็จใบที่ 4</t>
  </si>
  <si>
    <t>ปริมาณไฟฟ้าที่ถูกเรียกเก็บจากใบเสร็จใบที่ 5</t>
  </si>
  <si>
    <t xml:space="preserve">การเดินทางภายในมหาวิทยาลัย </t>
  </si>
  <si>
    <t xml:space="preserve">จำนวนรถ </t>
  </si>
  <si>
    <t xml:space="preserve">จำนวนเที่ยวต่อวัน </t>
  </si>
  <si>
    <t>จำนวนระยะทางต่อเที่ยว</t>
  </si>
  <si>
    <t>รถไฟฟ้าสำหรับบริการนักท่องเที่ยว (สีเขียว)</t>
  </si>
  <si>
    <t>รถไฟฟ้าสำหรับบริการนักศึกษา,บุคลากร และบุคคลทั่วไป</t>
  </si>
  <si>
    <t xml:space="preserve">จำนวนผู้ใช้บริการ </t>
  </si>
  <si>
    <t>จำนวนคนต่อคัน</t>
  </si>
  <si>
    <t xml:space="preserve">รถบัสสำหรับบริการระหว่าง Campus </t>
  </si>
  <si>
    <t xml:space="preserve">รถแดงสำหรับบริการระหว่าง Campus </t>
  </si>
  <si>
    <t xml:space="preserve">ข้อมูลเพิ่มเติมเกี่ยวกับระบบน้ำของมหาวิทยาลัย </t>
  </si>
  <si>
    <t>ปริมาณน้ำจากอ่างแก้วและน้ำจากอ่างตาดชมพูที่สูบเข้าไปโรงประปา</t>
  </si>
  <si>
    <t>ปริมาณน้ำจากภายนอกที่สูบเข้าไปในโรงประปา</t>
  </si>
  <si>
    <t>ปริมาณน้ำประปาที่ซื้อเข้ามาเพิ่มจากภายนอก</t>
  </si>
  <si>
    <t xml:space="preserve">จำนวนผู้เข้ามาใช้บริการในลักษณะอื่น ๆ </t>
  </si>
  <si>
    <t>ตัว</t>
  </si>
  <si>
    <t>แกะ</t>
  </si>
  <si>
    <t>จำนวนบุคลากรประจำ (อาจารย์, แพทย์, พยาบาล, เจ้าหน้าที่, นักวิจัย, วิศวกร และอื่น ๆ)</t>
  </si>
  <si>
    <t xml:space="preserve">คน/เดือน </t>
  </si>
  <si>
    <t>คน/ภาคการศึกษา</t>
  </si>
  <si>
    <t xml:space="preserve">คน/ปี </t>
  </si>
  <si>
    <t xml:space="preserve">ลูกบาศก์เมตร/ปี </t>
  </si>
  <si>
    <t xml:space="preserve">kWh/ปี </t>
  </si>
  <si>
    <t xml:space="preserve">ปริมาณไฟฟ้าที่ผลิตและใช้เองในมหาวิทยาลัย (จุดที่ 1): โปรดระบุจุดและแหล่งพลังงาน </t>
  </si>
  <si>
    <t>จำนวนนักศึกษาที่ลงทะเบียนในเทอมที่ 1/2559</t>
  </si>
  <si>
    <t>จำนวนนักศึกษาที่ลงทะเบียนในเทอมที่ 2/2560</t>
  </si>
  <si>
    <t>แหล่งข้อมูล</t>
  </si>
  <si>
    <t>ERDI</t>
  </si>
  <si>
    <t>คณะเกษตรฯ</t>
  </si>
  <si>
    <t>กองบุคคล</t>
  </si>
  <si>
    <t>สำนักทะเบียน</t>
  </si>
  <si>
    <t>คณะแพทย์</t>
  </si>
  <si>
    <t xml:space="preserve">รถตู้สำหรับบริการระหว่าง Campus </t>
  </si>
  <si>
    <t>รายละเอียดข้อมูล</t>
  </si>
  <si>
    <t>ปริมาณในปีงบประมาณ 2559</t>
  </si>
  <si>
    <t>ปริมาณในปีงบประมาณ 2560</t>
  </si>
  <si>
    <t>การบันทึกข้อมูลเพื่อประเมินปริมาณคาร์บอนที่ปล่อยออกสู่บรรยากาศ ตามตัวชี้วัดของยุทธศาสตร์เชิงรุกด้านพลังงานและสิ่งแวดล้อม
ของแผนพัฒนาการศึกษามหาวิทยาลัยเชียงใหม่ ระยะที่ 12 (พ.ศ. 2560-2564)</t>
  </si>
  <si>
    <t>กองพัฒนา นศ. (ขสมช.)</t>
  </si>
  <si>
    <t>กองอาคารฯ</t>
  </si>
  <si>
    <t>กองอาคารฯ+ERDI</t>
  </si>
  <si>
    <t>คณะแพทย์+กองอาคารฯ</t>
  </si>
  <si>
    <t>หมายเหตุ</t>
  </si>
  <si>
    <t>กระต่าย</t>
  </si>
  <si>
    <t>ข้อมูลน้ำมันเบนซินในรถกระบะ ยานยนต์ต่าง ๆ ของ มช. ที่ลดลงเนื่องจากหน่วยงานบางหน่วยงานไม่ได้ส่งข้อมูล (ไม่ใช่ว่า การใช้งานมีประสิทธิภาพมากขึ้น)</t>
  </si>
  <si>
    <t>วันธรรมดา 6,600 กิโลเมตรต่อวัน / วันหยุดวิ่ง 3,300 กิโลเมตรต่อวัน</t>
  </si>
  <si>
    <t>กิโลเมตร</t>
  </si>
  <si>
    <t>เที่ยว/วัน</t>
  </si>
  <si>
    <t>คัน</t>
  </si>
  <si>
    <t>ขึ้นอยู่กับจำนวนนักท่องเที่ยวในแต่ละวัน</t>
  </si>
  <si>
    <t>คน</t>
  </si>
  <si>
    <t>มูลนิธิพัฒนามหาวิทยาลัย</t>
  </si>
  <si>
    <t>N/A</t>
  </si>
  <si>
    <t>สาย1=141 รอบ / สาย2=120 รอบ /
สาย3=120 รอบ / สาย4=120 รอบ / สาย5=141 รอบ / สาย6=120</t>
  </si>
  <si>
    <t>สายแม่เหียะ 3 คัน ออกทุก 30 นาที (07:00-20.30 น.) = 84 เที่ยว / 
สายสวนดอก 5 คัน ออกทุก 15 นาที (07.00-21.00 น.) = 285 เที่ยว</t>
  </si>
  <si>
    <t>โซล่าเซลล์ สถาบันวิจัยและพัฒนาพลังงานนครพิงค์</t>
  </si>
  <si>
    <t>(36 kWp)</t>
  </si>
  <si>
    <t>โซล่าเซลล์ คณะอุตสาหกรรมเกษตร</t>
  </si>
  <si>
    <t>(29 kWp)</t>
  </si>
  <si>
    <t>โซล่าเซลล์ คณะเภสัชศาสตร์</t>
  </si>
  <si>
    <t xml:space="preserve">ปริมาณก๊าซเรือนกระจกที่เกิดขึ้นจากแต่ละกิจกรรม </t>
  </si>
  <si>
    <t>kgCO2-eq/ปี</t>
  </si>
  <si>
    <t>Units</t>
  </si>
  <si>
    <t>EMISSION FACTORS</t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</si>
  <si>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</si>
  <si>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</si>
  <si>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</si>
  <si>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Total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</si>
  <si>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</si>
  <si>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</si>
  <si>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</si>
  <si>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</si>
  <si>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Stationary Combustion</t>
  </si>
  <si>
    <t>Natural gas</t>
  </si>
  <si>
    <t>scf</t>
  </si>
  <si>
    <t>IPCC Vol.2 table 2.2, DEDE</t>
  </si>
  <si>
    <t>Lignite</t>
  </si>
  <si>
    <t>kg</t>
  </si>
  <si>
    <t>litre</t>
  </si>
  <si>
    <t>Gas/Diesel oil</t>
  </si>
  <si>
    <t>Anthracite</t>
  </si>
  <si>
    <t>Sub-bituminous coal</t>
  </si>
  <si>
    <t>Jet Kerosene</t>
  </si>
  <si>
    <t>LPG</t>
  </si>
  <si>
    <t>LPG 1 litre = 0.54 kg (DEDE)</t>
  </si>
  <si>
    <t>Mobile Combustion (On road)</t>
  </si>
  <si>
    <t xml:space="preserve">Motor Gasoline - uncontrolled </t>
  </si>
  <si>
    <t>IPCC Vol.2 table 3.2.1, 3.2.2, DEDE</t>
  </si>
  <si>
    <t>Motor Gasoline -oxydation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</si>
  <si>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</si>
  <si>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</si>
  <si>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</si>
  <si>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</si>
  <si>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</si>
  <si>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</si>
  <si>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</si>
  <si>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</si>
  <si>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</si>
  <si>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</si>
  <si>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</si>
  <si>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</si>
  <si>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</si>
  <si>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</si>
  <si>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Mobile Combustion (Railway)</t>
  </si>
  <si>
    <t>IPCC Vol.2 table 3.4.1, DEDE</t>
  </si>
  <si>
    <t>IPCC</t>
  </si>
  <si>
    <t>DEDE</t>
  </si>
  <si>
    <t>[kg/TJ]</t>
  </si>
  <si>
    <t>[MJ/unit]</t>
  </si>
  <si>
    <t>unit</t>
  </si>
  <si>
    <t>CO2</t>
  </si>
  <si>
    <t>CH4</t>
  </si>
  <si>
    <t>N2O</t>
  </si>
  <si>
    <t>NCV</t>
  </si>
  <si>
    <t>dry basis</t>
  </si>
  <si>
    <t>gasoline</t>
  </si>
  <si>
    <t xml:space="preserve">Mobile Combustion (Off road) </t>
  </si>
  <si>
    <t>tonCO2-eq/ปี</t>
  </si>
  <si>
    <t xml:space="preserve">Waste Incineration </t>
  </si>
  <si>
    <t xml:space="preserve">Clinical Waste </t>
  </si>
  <si>
    <t>ton</t>
  </si>
  <si>
    <t>kg/tonWaste</t>
  </si>
  <si>
    <t>IPCC Vol.5 table 5.2, 5.3, 5.4</t>
  </si>
  <si>
    <t>GHG</t>
  </si>
  <si>
    <t>Waste Disposal</t>
  </si>
  <si>
    <t>Municipal Waste</t>
  </si>
  <si>
    <t>สัดส่วนต่อ 1 kg ของขยะ</t>
  </si>
  <si>
    <t>งานวิจัย “แผนการจัดการขยะแบบบูรณาการของมหาวิทยาลัยเชียงใหม่”</t>
  </si>
  <si>
    <t>องค์การบริหารจัดการก๊าซเรือนกระจก, งานวิจัย</t>
  </si>
  <si>
    <t xml:space="preserve">EF: GHG ต่อตันขยะมูลฝอย </t>
  </si>
  <si>
    <t xml:space="preserve">แนวทางการประเมินคาร์บอนฟุตพริ้นท์ขององค์กร, อบก. </t>
  </si>
  <si>
    <t xml:space="preserve">Electricity (PEA) </t>
  </si>
  <si>
    <t xml:space="preserve">Electricity </t>
  </si>
  <si>
    <t>Lifestock: ENTERIC FERMENTATION</t>
  </si>
  <si>
    <t>IPCC Vol.4 table 10.10</t>
  </si>
  <si>
    <t>kg/head-yr</t>
  </si>
  <si>
    <t>head</t>
  </si>
  <si>
    <t>Default items</t>
  </si>
  <si>
    <t>Value</t>
  </si>
  <si>
    <t>Reference</t>
  </si>
  <si>
    <t>1.</t>
  </si>
  <si>
    <r>
      <t>Maximum CH4 producing capacity: B</t>
    </r>
    <r>
      <rPr>
        <vertAlign val="subscript"/>
        <sz val="16"/>
        <color theme="1"/>
        <rFont val="FreesiaUPC"/>
        <family val="2"/>
      </rPr>
      <t>0</t>
    </r>
    <r>
      <rPr>
        <sz val="16"/>
        <color theme="1"/>
        <rFont val="FreesiaUPC"/>
        <family val="2"/>
      </rPr>
      <t xml:space="preserve"> (kgCH4/kgBOD) </t>
    </r>
  </si>
  <si>
    <t>IPCC , volume 5, chapter 6, p.6.12</t>
  </si>
  <si>
    <t>2.</t>
  </si>
  <si>
    <r>
      <t>Maximum CH4 producing capacity: B</t>
    </r>
    <r>
      <rPr>
        <vertAlign val="subscript"/>
        <sz val="16"/>
        <color theme="1"/>
        <rFont val="FreesiaUPC"/>
        <family val="2"/>
      </rPr>
      <t>0</t>
    </r>
    <r>
      <rPr>
        <sz val="16"/>
        <color theme="1"/>
        <rFont val="FreesiaUPC"/>
        <family val="2"/>
      </rPr>
      <t xml:space="preserve"> (kgCH4/kgCOD) </t>
    </r>
  </si>
  <si>
    <t>3.</t>
  </si>
  <si>
    <t>Methane correction factor : MCF (Septic system)</t>
  </si>
  <si>
    <t>IPCC , volume 5, chapter 6, p.6.13 (Septic system)</t>
  </si>
  <si>
    <t>4.</t>
  </si>
  <si>
    <t>Methane correction factor : MCF (Anaerobic system)</t>
  </si>
  <si>
    <t>IPCC , volume 5, chapter 6, p.6.13 (Anaerobic system)</t>
  </si>
  <si>
    <t>Methane correction factor : MCF (Aerobic system)</t>
  </si>
  <si>
    <t>IPCC , volume 5, chapter 6, p.6.21</t>
  </si>
  <si>
    <t>BOD per capita: BOD (g/person/day)</t>
  </si>
  <si>
    <t>กรมควบคุมมลพิษ*</t>
  </si>
  <si>
    <t>BOD per capita: BOD (g/person/hour)</t>
  </si>
  <si>
    <t>BOD per L: BOD (mg/L)</t>
  </si>
  <si>
    <t>BOD per L: BOD (kg/m3)</t>
  </si>
  <si>
    <t xml:space="preserve">กิจกรรม </t>
  </si>
  <si>
    <t xml:space="preserve">Stationary Combustion </t>
  </si>
  <si>
    <t xml:space="preserve">Mobile Combustion </t>
  </si>
  <si>
    <t>Solid Waste (incineration)</t>
  </si>
  <si>
    <t xml:space="preserve">Solid Waste (landfill) </t>
  </si>
  <si>
    <t xml:space="preserve">Wastewater </t>
  </si>
  <si>
    <t>ปริมาณก๊าซเรือนกระจก</t>
  </si>
  <si>
    <t>Livestocks</t>
  </si>
  <si>
    <t>TonCO2-eq</t>
  </si>
  <si>
    <t>%</t>
  </si>
  <si>
    <t>co-eff</t>
  </si>
  <si>
    <t>Metric ton CO2</t>
  </si>
  <si>
    <t>Transportation</t>
  </si>
  <si>
    <t>Electricity (kWh)</t>
  </si>
  <si>
    <t>*CMU shuttle bus is all ZEV</t>
  </si>
  <si>
    <t>Car (number of cars)</t>
  </si>
  <si>
    <t>Motorcycle (number)</t>
  </si>
  <si>
    <t>Name</t>
  </si>
  <si>
    <t>References</t>
  </si>
  <si>
    <t>*ref. from Petroleum Authority of Thailand</t>
  </si>
  <si>
    <t>Food waste</t>
  </si>
  <si>
    <t>Plastic</t>
  </si>
  <si>
    <t>Paper</t>
  </si>
  <si>
    <t>PET Bottles</t>
  </si>
  <si>
    <t>Glass</t>
  </si>
  <si>
    <t>Etc</t>
  </si>
  <si>
    <t>Leaves</t>
  </si>
  <si>
    <t>Metal</t>
  </si>
  <si>
    <t>Fabric</t>
  </si>
  <si>
    <t>Ceramic</t>
  </si>
  <si>
    <t>Solar rooftop</t>
  </si>
  <si>
    <t>Solar heat water</t>
  </si>
  <si>
    <t>LED lighitng</t>
  </si>
  <si>
    <t>CBG</t>
  </si>
  <si>
    <t>Elec use (kWh)</t>
  </si>
  <si>
    <t>diff</t>
  </si>
  <si>
    <t>tCO2-eq</t>
  </si>
  <si>
    <t>ข้อมูลจาก อ เปี๊ยก</t>
  </si>
  <si>
    <t xml:space="preserve"> </t>
  </si>
  <si>
    <t>ปริมาณในปีงบประมาณ 2561</t>
  </si>
  <si>
    <t>(80 kWp)</t>
  </si>
  <si>
    <t>โซล่าเซลล์ อาคารจอดรถ S1</t>
  </si>
  <si>
    <t>(121.6 kWp)</t>
  </si>
  <si>
    <t>โซล่าเซลล์ อุทยานวิทย์ฯ ภาคเหนือ</t>
  </si>
  <si>
    <t>(40 kWp)</t>
  </si>
  <si>
    <t>ERDI?</t>
  </si>
  <si>
    <t>ขอคณะแพทย์</t>
  </si>
  <si>
    <t>2/2560</t>
  </si>
  <si>
    <t>3/2560</t>
  </si>
  <si>
    <t>1/2561</t>
  </si>
  <si>
    <t>ปริมาณในปีงบประมาณ 2562</t>
  </si>
  <si>
    <t>ปริมาณในปีงบประมาณ 2563</t>
  </si>
  <si>
    <t>Global Warming Potential (GWP): AR5</t>
  </si>
  <si>
    <t>Residual fuel oil (Fuel oil A)</t>
  </si>
  <si>
    <t>Residual fuel oil (Fuel oil C)</t>
  </si>
  <si>
    <t>Motor gasoline</t>
  </si>
  <si>
    <t>*ref. from PTT</t>
  </si>
  <si>
    <t>Fuel oil A</t>
  </si>
  <si>
    <t>Fuel oil C</t>
  </si>
  <si>
    <t>MJ</t>
  </si>
  <si>
    <t>IPCC Vol.2 table 2.2, PTT</t>
  </si>
  <si>
    <t>IPCC Vol.2 table 2.2, DEDE LPG 1 litre = 0.54 kg</t>
  </si>
  <si>
    <t>Wastewater Management</t>
  </si>
  <si>
    <t>5.</t>
  </si>
  <si>
    <t>6.</t>
  </si>
  <si>
    <t>7.</t>
  </si>
  <si>
    <t>8.</t>
  </si>
  <si>
    <t>9.</t>
  </si>
  <si>
    <t xml:space="preserve">10. </t>
  </si>
  <si>
    <t>อัตราการเกิดน้ำทิ้ง (ร้อยละ ของน้ำใช้)</t>
  </si>
  <si>
    <t>11.</t>
  </si>
  <si>
    <t>จำนวนชั่วโมงการทำงาน (ชั่วโมงต่อวัน)</t>
  </si>
  <si>
    <t xml:space="preserve">12. </t>
  </si>
  <si>
    <t>CH4 emission (kgCO2-eq/คน/วัน)</t>
  </si>
  <si>
    <t>13</t>
  </si>
  <si>
    <t>CH4 emission (kgCO2-eq/m3)</t>
  </si>
  <si>
    <t>ปริมาณในปีงบประมาณ 2564</t>
  </si>
  <si>
    <t>ปริมาณในปีงบประมาณ 2565</t>
  </si>
  <si>
    <t>ไม่มีการเลี้ยง</t>
  </si>
  <si>
    <t>แม่พันธ์</t>
  </si>
  <si>
    <t>ลูกสุกรหย่านมรวมต่อปี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</si>
</sst>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0"/>
    <numFmt numFmtId="167" formatCode="_-* #,##0.0000_-;\-* #,##0.0000_-;_-* &quot;-&quot;??_-;_-@_-"/>
    <numFmt numFmtId="168" formatCode="0.000000"/>
    <numFmt numFmtId="169" formatCode="0.0000"/>
    <numFmt numFmtId="170" formatCode="_(* #,##0.0000_);_(* \(#,##0.00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1"/>
      <color theme="1"/>
      <name val="Cordia New"/>
      <family val="2"/>
    </font>
    <font>
      <b/>
      <sz val="20"/>
      <color rgb="FFFFFF00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b/>
      <sz val="18"/>
      <color theme="1"/>
      <name val="Cordia New"/>
      <family val="2"/>
    </font>
    <font>
      <sz val="16"/>
      <name val="Cordia New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FreesiaUPC"/>
      <family val="2"/>
    </font>
    <font>
      <b/>
      <sz val="10"/>
      <color rgb="FFFFFF00"/>
      <name val="Arial"/>
      <family val="2"/>
    </font>
    <font>
      <vertAlign val="subscript"/>
      <sz val="16"/>
      <color theme="1"/>
      <name val="FreesiaUPC"/>
      <family val="2"/>
    </font>
    <font>
      <sz val="11"/>
      <color rgb="FFFF0000"/>
      <name val="Calibri"/>
      <family val="2"/>
      <charset val="222"/>
      <scheme val="minor"/>
    </font>
    <font>
      <b/>
      <sz val="18"/>
      <color rgb="FFFF0000"/>
      <name val="Cordia New"/>
      <family val="2"/>
    </font>
    <font>
      <b/>
      <sz val="18"/>
      <color rgb="FFFF0000"/>
      <name val="TH SarabunPSK"/>
      <family val="2"/>
    </font>
    <font>
      <b/>
      <sz val="18"/>
      <color theme="0"/>
      <name val="Cordia Ne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6"/>
      <color theme="0" tint="-0.34998626667073579"/>
      <name val="Cord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" fontId="3" fillId="4" borderId="28" applyNumberFormat="0" applyProtection="0">
      <alignment horizontal="left" vertical="center" indent="1"/>
    </xf>
    <xf numFmtId="4" fontId="3" fillId="4" borderId="28" applyNumberFormat="0" applyProtection="0">
      <alignment horizontal="left" vertical="center" indent="1"/>
    </xf>
    <xf numFmtId="4" fontId="3" fillId="5" borderId="28" applyNumberFormat="0" applyProtection="0">
      <alignment horizontal="left" vertical="center" indent="1"/>
    </xf>
    <xf numFmtId="4" fontId="3" fillId="6" borderId="28" applyNumberFormat="0" applyProtection="0">
      <alignment horizontal="right" vertical="center"/>
    </xf>
    <xf numFmtId="4" fontId="3" fillId="0" borderId="28" applyNumberFormat="0" applyProtection="0">
      <alignment horizontal="right" vertical="center"/>
    </xf>
    <xf numFmtId="4" fontId="3" fillId="7" borderId="28" applyNumberFormat="0" applyProtection="0">
      <alignment vertical="center"/>
    </xf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261">
    <xf numFmtId="0" fontId="0" fillId="0" borderId="0" xfId="0"/>
    <xf numFmtId="0" fontId="8" fillId="0" borderId="18" xfId="0" applyFont="1" applyBorder="1" applyAlignment="1">
      <alignment horizontal="right" vertical="top"/>
    </xf>
    <xf numFmtId="164" fontId="8" fillId="3" borderId="13" xfId="1" applyFont="1" applyFill="1" applyBorder="1" applyAlignment="1">
      <alignment horizontal="center" vertical="top"/>
    </xf>
    <xf numFmtId="164" fontId="8" fillId="3" borderId="17" xfId="1" applyFont="1" applyFill="1" applyBorder="1" applyAlignment="1">
      <alignment horizontal="right" vertical="top"/>
    </xf>
    <xf numFmtId="164" fontId="8" fillId="9" borderId="17" xfId="1" applyFont="1" applyFill="1" applyBorder="1" applyAlignment="1">
      <alignment horizontal="center" vertical="top"/>
    </xf>
    <xf numFmtId="164" fontId="8" fillId="3" borderId="14" xfId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20" xfId="0" applyFont="1" applyBorder="1" applyAlignment="1">
      <alignment horizontal="right" vertical="top"/>
    </xf>
    <xf numFmtId="164" fontId="8" fillId="9" borderId="25" xfId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164" fontId="5" fillId="8" borderId="12" xfId="1" applyFont="1" applyFill="1" applyBorder="1" applyAlignment="1">
      <alignment vertical="top"/>
    </xf>
    <xf numFmtId="164" fontId="5" fillId="8" borderId="19" xfId="1" applyFont="1" applyFill="1" applyBorder="1" applyAlignment="1">
      <alignment horizontal="right" vertical="top"/>
    </xf>
    <xf numFmtId="164" fontId="5" fillId="8" borderId="19" xfId="1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164" fontId="8" fillId="9" borderId="27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164" fontId="8" fillId="3" borderId="27" xfId="1" applyFont="1" applyFill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165" fontId="8" fillId="3" borderId="27" xfId="1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165" fontId="8" fillId="3" borderId="17" xfId="1" applyNumberFormat="1" applyFont="1" applyFill="1" applyBorder="1" applyAlignment="1">
      <alignment horizontal="right" vertical="top"/>
    </xf>
    <xf numFmtId="0" fontId="8" fillId="0" borderId="24" xfId="0" applyFont="1" applyBorder="1" applyAlignment="1">
      <alignment horizontal="left" vertical="top"/>
    </xf>
    <xf numFmtId="0" fontId="8" fillId="0" borderId="16" xfId="0" applyFont="1" applyBorder="1" applyAlignment="1">
      <alignment vertical="top"/>
    </xf>
    <xf numFmtId="165" fontId="8" fillId="3" borderId="26" xfId="1" applyNumberFormat="1" applyFont="1" applyFill="1" applyBorder="1" applyAlignment="1">
      <alignment horizontal="right" vertical="top"/>
    </xf>
    <xf numFmtId="164" fontId="8" fillId="8" borderId="12" xfId="1" applyFont="1" applyFill="1" applyBorder="1" applyAlignment="1">
      <alignment horizontal="center" vertical="top"/>
    </xf>
    <xf numFmtId="164" fontId="8" fillId="8" borderId="19" xfId="1" applyFont="1" applyFill="1" applyBorder="1" applyAlignment="1">
      <alignment horizontal="right" vertical="top"/>
    </xf>
    <xf numFmtId="164" fontId="8" fillId="8" borderId="19" xfId="1" applyFont="1" applyFill="1" applyBorder="1" applyAlignment="1">
      <alignment horizontal="center" vertical="top"/>
    </xf>
    <xf numFmtId="0" fontId="8" fillId="0" borderId="14" xfId="0" applyFont="1" applyBorder="1" applyAlignment="1">
      <alignment horizontal="right" vertical="top"/>
    </xf>
    <xf numFmtId="164" fontId="8" fillId="8" borderId="20" xfId="1" applyFont="1" applyFill="1" applyBorder="1" applyAlignment="1">
      <alignment horizontal="center" vertical="top"/>
    </xf>
    <xf numFmtId="164" fontId="8" fillId="8" borderId="10" xfId="1" applyFont="1" applyFill="1" applyBorder="1" applyAlignment="1">
      <alignment horizontal="right" vertical="top"/>
    </xf>
    <xf numFmtId="164" fontId="8" fillId="8" borderId="10" xfId="1" applyFont="1" applyFill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vertical="top"/>
    </xf>
    <xf numFmtId="165" fontId="8" fillId="3" borderId="25" xfId="1" applyNumberFormat="1" applyFont="1" applyFill="1" applyBorder="1" applyAlignment="1">
      <alignment horizontal="right" vertical="top"/>
    </xf>
    <xf numFmtId="164" fontId="5" fillId="0" borderId="0" xfId="1" applyFont="1" applyAlignment="1">
      <alignment horizontal="right" vertical="top"/>
    </xf>
    <xf numFmtId="164" fontId="5" fillId="0" borderId="0" xfId="1" applyFont="1" applyAlignment="1">
      <alignment horizontal="center" vertical="top"/>
    </xf>
    <xf numFmtId="165" fontId="8" fillId="3" borderId="25" xfId="1" applyNumberFormat="1" applyFont="1" applyFill="1" applyBorder="1" applyAlignment="1">
      <alignment horizontal="center" vertical="top"/>
    </xf>
    <xf numFmtId="164" fontId="8" fillId="0" borderId="27" xfId="1" applyFont="1" applyFill="1" applyBorder="1" applyAlignment="1">
      <alignment horizontal="center" vertical="top"/>
    </xf>
    <xf numFmtId="164" fontId="8" fillId="0" borderId="27" xfId="1" applyFont="1" applyFill="1" applyBorder="1" applyAlignment="1">
      <alignment horizontal="left" vertical="top" wrapText="1"/>
    </xf>
    <xf numFmtId="164" fontId="8" fillId="0" borderId="17" xfId="1" applyFont="1" applyFill="1" applyBorder="1" applyAlignment="1">
      <alignment horizontal="center" vertical="top"/>
    </xf>
    <xf numFmtId="164" fontId="8" fillId="0" borderId="17" xfId="1" applyFont="1" applyFill="1" applyBorder="1" applyAlignment="1">
      <alignment horizontal="left" vertical="top" wrapText="1"/>
    </xf>
    <xf numFmtId="164" fontId="8" fillId="0" borderId="25" xfId="1" applyFont="1" applyFill="1" applyBorder="1" applyAlignment="1">
      <alignment horizontal="center" vertical="top"/>
    </xf>
    <xf numFmtId="164" fontId="7" fillId="0" borderId="23" xfId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164" fontId="7" fillId="0" borderId="23" xfId="1" applyFont="1" applyBorder="1" applyAlignment="1">
      <alignment horizontal="center" vertical="top" wrapText="1"/>
    </xf>
    <xf numFmtId="165" fontId="8" fillId="3" borderId="27" xfId="1" applyNumberFormat="1" applyFont="1" applyFill="1" applyBorder="1" applyAlignment="1">
      <alignment vertical="top"/>
    </xf>
    <xf numFmtId="165" fontId="8" fillId="3" borderId="17" xfId="1" applyNumberFormat="1" applyFont="1" applyFill="1" applyBorder="1" applyAlignment="1">
      <alignment vertical="top"/>
    </xf>
    <xf numFmtId="164" fontId="8" fillId="0" borderId="27" xfId="1" quotePrefix="1" applyFont="1" applyFill="1" applyBorder="1" applyAlignment="1">
      <alignment horizontal="left" vertical="top" wrapText="1"/>
    </xf>
    <xf numFmtId="0" fontId="8" fillId="10" borderId="18" xfId="0" quotePrefix="1" applyFont="1" applyFill="1" applyBorder="1" applyAlignment="1">
      <alignment horizontal="right"/>
    </xf>
    <xf numFmtId="0" fontId="8" fillId="10" borderId="1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164" fontId="8" fillId="10" borderId="13" xfId="1" applyFont="1" applyFill="1" applyBorder="1" applyAlignment="1">
      <alignment horizontal="center" vertical="top"/>
    </xf>
    <xf numFmtId="164" fontId="8" fillId="10" borderId="17" xfId="1" applyFont="1" applyFill="1" applyBorder="1" applyAlignment="1">
      <alignment horizontal="right"/>
    </xf>
    <xf numFmtId="164" fontId="8" fillId="10" borderId="31" xfId="1" applyFont="1" applyFill="1" applyBorder="1" applyAlignment="1">
      <alignment horizontal="center" vertical="top"/>
    </xf>
    <xf numFmtId="0" fontId="5" fillId="10" borderId="0" xfId="0" applyFont="1" applyFill="1" applyAlignment="1">
      <alignment vertical="top"/>
    </xf>
    <xf numFmtId="0" fontId="8" fillId="10" borderId="18" xfId="0" applyFont="1" applyFill="1" applyBorder="1" applyAlignment="1">
      <alignment horizontal="right"/>
    </xf>
    <xf numFmtId="0" fontId="15" fillId="11" borderId="0" xfId="14" applyFont="1" applyFill="1"/>
    <xf numFmtId="0" fontId="13" fillId="2" borderId="31" xfId="14" applyFont="1" applyFill="1" applyBorder="1" applyAlignment="1">
      <alignment horizontal="center" vertical="center"/>
    </xf>
    <xf numFmtId="0" fontId="17" fillId="11" borderId="31" xfId="14" applyFont="1" applyFill="1" applyBorder="1" applyAlignment="1">
      <alignment horizontal="left" vertical="center"/>
    </xf>
    <xf numFmtId="0" fontId="17" fillId="11" borderId="31" xfId="14" applyFont="1" applyFill="1" applyBorder="1" applyAlignment="1">
      <alignment horizontal="center" vertical="center"/>
    </xf>
    <xf numFmtId="0" fontId="15" fillId="11" borderId="31" xfId="14" applyFont="1" applyFill="1" applyBorder="1"/>
    <xf numFmtId="0" fontId="15" fillId="11" borderId="31" xfId="14" applyFont="1" applyFill="1" applyBorder="1" applyAlignment="1">
      <alignment horizontal="center" vertical="top"/>
    </xf>
    <xf numFmtId="0" fontId="15" fillId="11" borderId="31" xfId="14" applyFont="1" applyFill="1" applyBorder="1" applyAlignment="1">
      <alignment vertical="top"/>
    </xf>
    <xf numFmtId="166" fontId="17" fillId="11" borderId="31" xfId="14" applyNumberFormat="1" applyFont="1" applyFill="1" applyBorder="1" applyAlignment="1">
      <alignment horizontal="center" vertical="center"/>
    </xf>
    <xf numFmtId="0" fontId="15" fillId="11" borderId="31" xfId="14" applyFont="1" applyFill="1" applyBorder="1" applyAlignment="1">
      <alignment horizontal="center" vertical="center"/>
    </xf>
    <xf numFmtId="0" fontId="15" fillId="11" borderId="31" xfId="14" applyFont="1" applyFill="1" applyBorder="1" applyAlignment="1">
      <alignment horizontal="center"/>
    </xf>
    <xf numFmtId="0" fontId="18" fillId="11" borderId="31" xfId="14" applyFont="1" applyFill="1" applyBorder="1" applyAlignment="1">
      <alignment vertical="top"/>
    </xf>
    <xf numFmtId="49" fontId="15" fillId="11" borderId="31" xfId="14" applyNumberFormat="1" applyFont="1" applyFill="1" applyBorder="1" applyAlignment="1">
      <alignment vertical="top"/>
    </xf>
    <xf numFmtId="0" fontId="19" fillId="11" borderId="31" xfId="14" applyFont="1" applyFill="1" applyBorder="1" applyAlignment="1">
      <alignment vertical="top"/>
    </xf>
    <xf numFmtId="0" fontId="15" fillId="11" borderId="0" xfId="14" applyFont="1" applyFill="1" applyAlignment="1">
      <alignment horizontal="left" vertical="top"/>
    </xf>
    <xf numFmtId="167" fontId="15" fillId="11" borderId="0" xfId="15" applyNumberFormat="1" applyFont="1" applyFill="1" applyBorder="1" applyAlignment="1">
      <alignment horizontal="left" vertical="top"/>
    </xf>
    <xf numFmtId="167" fontId="15" fillId="11" borderId="0" xfId="15" applyNumberFormat="1" applyFont="1" applyFill="1" applyBorder="1"/>
    <xf numFmtId="0" fontId="11" fillId="12" borderId="0" xfId="14" applyFont="1" applyFill="1"/>
    <xf numFmtId="0" fontId="15" fillId="12" borderId="0" xfId="14" applyFont="1" applyFill="1" applyAlignment="1">
      <alignment horizontal="left" vertical="top"/>
    </xf>
    <xf numFmtId="167" fontId="15" fillId="12" borderId="0" xfId="15" applyNumberFormat="1" applyFont="1" applyFill="1" applyBorder="1" applyAlignment="1">
      <alignment horizontal="left" vertical="top"/>
    </xf>
    <xf numFmtId="167" fontId="15" fillId="12" borderId="0" xfId="15" applyNumberFormat="1" applyFont="1" applyFill="1" applyBorder="1" applyAlignment="1">
      <alignment horizontal="left" vertical="top" wrapText="1"/>
    </xf>
    <xf numFmtId="167" fontId="15" fillId="12" borderId="0" xfId="15" applyNumberFormat="1" applyFont="1" applyFill="1" applyBorder="1"/>
    <xf numFmtId="0" fontId="15" fillId="12" borderId="0" xfId="14" applyFont="1" applyFill="1"/>
    <xf numFmtId="167" fontId="15" fillId="11" borderId="0" xfId="15" applyNumberFormat="1" applyFont="1" applyFill="1"/>
    <xf numFmtId="167" fontId="15" fillId="11" borderId="0" xfId="15" applyNumberFormat="1" applyFont="1" applyFill="1" applyAlignment="1">
      <alignment horizontal="center"/>
    </xf>
    <xf numFmtId="167" fontId="15" fillId="11" borderId="31" xfId="15" applyNumberFormat="1" applyFont="1" applyFill="1" applyBorder="1" applyAlignment="1">
      <alignment horizontal="center"/>
    </xf>
    <xf numFmtId="168" fontId="15" fillId="11" borderId="31" xfId="15" applyNumberFormat="1" applyFont="1" applyFill="1" applyBorder="1" applyAlignment="1">
      <alignment horizontal="center" vertical="top"/>
    </xf>
    <xf numFmtId="0" fontId="15" fillId="11" borderId="31" xfId="15" applyNumberFormat="1" applyFont="1" applyFill="1" applyBorder="1" applyAlignment="1">
      <alignment horizontal="center" vertical="top"/>
    </xf>
    <xf numFmtId="0" fontId="15" fillId="11" borderId="31" xfId="15" applyNumberFormat="1" applyFont="1" applyFill="1" applyBorder="1" applyAlignment="1">
      <alignment horizontal="center"/>
    </xf>
    <xf numFmtId="0" fontId="15" fillId="11" borderId="0" xfId="15" applyNumberFormat="1" applyFont="1" applyFill="1" applyAlignment="1">
      <alignment horizontal="center"/>
    </xf>
    <xf numFmtId="167" fontId="15" fillId="11" borderId="31" xfId="15" applyNumberFormat="1" applyFont="1" applyFill="1" applyBorder="1"/>
    <xf numFmtId="164" fontId="8" fillId="3" borderId="27" xfId="1" applyFont="1" applyFill="1" applyBorder="1" applyAlignment="1">
      <alignment vertical="top"/>
    </xf>
    <xf numFmtId="164" fontId="9" fillId="0" borderId="0" xfId="1" applyFont="1" applyFill="1" applyBorder="1" applyAlignment="1">
      <alignment horizontal="center" vertical="top" wrapText="1"/>
    </xf>
    <xf numFmtId="164" fontId="8" fillId="3" borderId="17" xfId="1" applyFont="1" applyFill="1" applyBorder="1" applyAlignment="1">
      <alignment vertical="top"/>
    </xf>
    <xf numFmtId="164" fontId="8" fillId="3" borderId="26" xfId="1" applyFont="1" applyFill="1" applyBorder="1" applyAlignment="1">
      <alignment horizontal="right" vertical="top"/>
    </xf>
    <xf numFmtId="0" fontId="15" fillId="11" borderId="31" xfId="15" applyNumberFormat="1" applyFont="1" applyFill="1" applyBorder="1" applyAlignment="1">
      <alignment horizontal="left"/>
    </xf>
    <xf numFmtId="167" fontId="15" fillId="11" borderId="0" xfId="15" applyNumberFormat="1" applyFont="1" applyFill="1" applyBorder="1" applyAlignment="1">
      <alignment horizontal="center"/>
    </xf>
    <xf numFmtId="0" fontId="15" fillId="11" borderId="34" xfId="14" applyFont="1" applyFill="1" applyBorder="1" applyAlignment="1">
      <alignment horizontal="center" vertical="top"/>
    </xf>
    <xf numFmtId="164" fontId="15" fillId="11" borderId="31" xfId="1" applyFont="1" applyFill="1" applyBorder="1" applyAlignment="1">
      <alignment horizontal="center" vertical="top"/>
    </xf>
    <xf numFmtId="164" fontId="8" fillId="0" borderId="17" xfId="1" applyFont="1" applyFill="1" applyBorder="1" applyAlignment="1">
      <alignment horizontal="right" vertical="top"/>
    </xf>
    <xf numFmtId="164" fontId="8" fillId="0" borderId="10" xfId="1" applyFont="1" applyFill="1" applyBorder="1" applyAlignment="1">
      <alignment horizontal="right" vertical="top"/>
    </xf>
    <xf numFmtId="0" fontId="8" fillId="0" borderId="31" xfId="0" applyFont="1" applyBorder="1" applyAlignment="1">
      <alignment horizontal="left" vertical="top"/>
    </xf>
    <xf numFmtId="164" fontId="15" fillId="11" borderId="31" xfId="1" applyFont="1" applyFill="1" applyBorder="1" applyAlignment="1">
      <alignment horizontal="center"/>
    </xf>
    <xf numFmtId="164" fontId="15" fillId="11" borderId="31" xfId="14" applyNumberFormat="1" applyFont="1" applyFill="1" applyBorder="1" applyAlignment="1">
      <alignment horizontal="center" vertical="top"/>
    </xf>
    <xf numFmtId="164" fontId="8" fillId="0" borderId="26" xfId="1" applyFont="1" applyFill="1" applyBorder="1" applyAlignment="1">
      <alignment horizontal="right" vertical="top"/>
    </xf>
    <xf numFmtId="0" fontId="21" fillId="2" borderId="39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49" fontId="20" fillId="0" borderId="31" xfId="0" applyNumberFormat="1" applyFont="1" applyBorder="1" applyAlignment="1">
      <alignment horizontal="right"/>
    </xf>
    <xf numFmtId="0" fontId="20" fillId="0" borderId="31" xfId="0" applyFont="1" applyBorder="1"/>
    <xf numFmtId="0" fontId="20" fillId="0" borderId="31" xfId="0" applyFont="1" applyBorder="1" applyAlignment="1">
      <alignment horizontal="left"/>
    </xf>
    <xf numFmtId="0" fontId="21" fillId="2" borderId="5" xfId="0" applyFont="1" applyFill="1" applyBorder="1"/>
    <xf numFmtId="164" fontId="20" fillId="0" borderId="31" xfId="1" applyFont="1" applyBorder="1" applyAlignment="1"/>
    <xf numFmtId="164" fontId="15" fillId="11" borderId="1" xfId="1" applyFont="1" applyFill="1" applyBorder="1" applyAlignment="1"/>
    <xf numFmtId="164" fontId="15" fillId="11" borderId="31" xfId="1" applyFont="1" applyFill="1" applyBorder="1"/>
    <xf numFmtId="164" fontId="8" fillId="13" borderId="27" xfId="1" applyFont="1" applyFill="1" applyBorder="1" applyAlignment="1">
      <alignment horizontal="right" vertical="top"/>
    </xf>
    <xf numFmtId="164" fontId="8" fillId="13" borderId="17" xfId="1" applyFont="1" applyFill="1" applyBorder="1" applyAlignment="1">
      <alignment horizontal="right" vertical="top"/>
    </xf>
    <xf numFmtId="164" fontId="8" fillId="0" borderId="27" xfId="1" applyFont="1" applyFill="1" applyBorder="1" applyAlignment="1">
      <alignment horizontal="right" vertical="top"/>
    </xf>
    <xf numFmtId="164" fontId="8" fillId="0" borderId="25" xfId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horizontal="right" vertical="top"/>
    </xf>
    <xf numFmtId="10" fontId="8" fillId="0" borderId="0" xfId="13" applyNumberFormat="1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1" xfId="0" applyFont="1" applyBorder="1"/>
    <xf numFmtId="164" fontId="8" fillId="0" borderId="31" xfId="0" applyNumberFormat="1" applyFont="1" applyBorder="1" applyAlignment="1">
      <alignment horizontal="center"/>
    </xf>
    <xf numFmtId="0" fontId="7" fillId="0" borderId="31" xfId="0" applyFont="1" applyBorder="1"/>
    <xf numFmtId="164" fontId="7" fillId="0" borderId="31" xfId="0" applyNumberFormat="1" applyFont="1" applyBorder="1" applyAlignment="1">
      <alignment horizontal="center"/>
    </xf>
    <xf numFmtId="10" fontId="8" fillId="0" borderId="31" xfId="13" applyNumberFormat="1" applyFont="1" applyBorder="1" applyAlignment="1">
      <alignment horizontal="center"/>
    </xf>
    <xf numFmtId="10" fontId="7" fillId="0" borderId="31" xfId="13" applyNumberFormat="1" applyFont="1" applyBorder="1" applyAlignment="1">
      <alignment horizontal="center"/>
    </xf>
    <xf numFmtId="164" fontId="8" fillId="0" borderId="0" xfId="0" applyNumberFormat="1" applyFont="1"/>
    <xf numFmtId="0" fontId="8" fillId="0" borderId="31" xfId="0" applyFont="1" applyBorder="1" applyAlignment="1">
      <alignment horizontal="center"/>
    </xf>
    <xf numFmtId="165" fontId="8" fillId="0" borderId="31" xfId="1" applyNumberFormat="1" applyFont="1" applyBorder="1"/>
    <xf numFmtId="165" fontId="7" fillId="0" borderId="31" xfId="1" applyNumberFormat="1" applyFont="1" applyBorder="1"/>
    <xf numFmtId="164" fontId="8" fillId="0" borderId="31" xfId="1" applyFont="1" applyBorder="1"/>
    <xf numFmtId="164" fontId="8" fillId="0" borderId="0" xfId="0" applyNumberFormat="1" applyFont="1" applyAlignment="1">
      <alignment horizontal="center"/>
    </xf>
    <xf numFmtId="0" fontId="23" fillId="11" borderId="31" xfId="15" applyNumberFormat="1" applyFont="1" applyFill="1" applyBorder="1" applyAlignment="1">
      <alignment horizontal="left"/>
    </xf>
    <xf numFmtId="0" fontId="23" fillId="11" borderId="31" xfId="15" applyNumberFormat="1" applyFont="1" applyFill="1" applyBorder="1" applyAlignment="1">
      <alignment vertical="center" wrapText="1"/>
    </xf>
    <xf numFmtId="0" fontId="24" fillId="14" borderId="0" xfId="0" applyFont="1" applyFill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164" fontId="24" fillId="0" borderId="31" xfId="0" applyNumberFormat="1" applyFont="1" applyBorder="1"/>
    <xf numFmtId="165" fontId="24" fillId="0" borderId="31" xfId="1" applyNumberFormat="1" applyFont="1" applyBorder="1"/>
    <xf numFmtId="0" fontId="24" fillId="0" borderId="0" xfId="0" applyFont="1"/>
    <xf numFmtId="164" fontId="24" fillId="0" borderId="0" xfId="0" applyNumberFormat="1" applyFont="1"/>
    <xf numFmtId="3" fontId="25" fillId="0" borderId="0" xfId="0" applyNumberFormat="1" applyFont="1"/>
    <xf numFmtId="164" fontId="8" fillId="9" borderId="30" xfId="1" applyFont="1" applyFill="1" applyBorder="1" applyAlignment="1">
      <alignment horizontal="center" vertical="center"/>
    </xf>
    <xf numFmtId="165" fontId="8" fillId="0" borderId="31" xfId="0" applyNumberFormat="1" applyFont="1" applyBorder="1"/>
    <xf numFmtId="165" fontId="8" fillId="0" borderId="31" xfId="0" applyNumberFormat="1" applyFont="1" applyBorder="1" applyAlignment="1">
      <alignment horizontal="center"/>
    </xf>
    <xf numFmtId="0" fontId="24" fillId="0" borderId="31" xfId="0" applyFont="1" applyBorder="1"/>
    <xf numFmtId="0" fontId="8" fillId="11" borderId="0" xfId="0" applyFont="1" applyFill="1"/>
    <xf numFmtId="3" fontId="8" fillId="0" borderId="31" xfId="0" applyNumberFormat="1" applyFont="1" applyBorder="1" applyAlignment="1">
      <alignment horizontal="right"/>
    </xf>
    <xf numFmtId="0" fontId="7" fillId="14" borderId="0" xfId="0" applyFont="1" applyFill="1" applyAlignment="1">
      <alignment horizontal="center" vertical="center"/>
    </xf>
    <xf numFmtId="0" fontId="7" fillId="14" borderId="3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26" fillId="14" borderId="31" xfId="0" applyFont="1" applyFill="1" applyBorder="1" applyAlignment="1">
      <alignment horizontal="center" vertical="center"/>
    </xf>
    <xf numFmtId="164" fontId="8" fillId="3" borderId="32" xfId="1" applyFont="1" applyFill="1" applyBorder="1" applyAlignment="1">
      <alignment horizontal="right" vertical="top"/>
    </xf>
    <xf numFmtId="0" fontId="8" fillId="10" borderId="30" xfId="0" applyFont="1" applyFill="1" applyBorder="1" applyAlignment="1">
      <alignment horizontal="right"/>
    </xf>
    <xf numFmtId="0" fontId="8" fillId="10" borderId="8" xfId="0" applyFont="1" applyFill="1" applyBorder="1" applyAlignment="1">
      <alignment horizontal="left"/>
    </xf>
    <xf numFmtId="164" fontId="8" fillId="10" borderId="0" xfId="1" applyFont="1" applyFill="1" applyBorder="1" applyAlignment="1">
      <alignment horizontal="center" vertical="top"/>
    </xf>
    <xf numFmtId="164" fontId="10" fillId="10" borderId="31" xfId="1" applyFont="1" applyFill="1" applyBorder="1" applyAlignment="1">
      <alignment horizontal="right"/>
    </xf>
    <xf numFmtId="0" fontId="8" fillId="10" borderId="40" xfId="0" applyFont="1" applyFill="1" applyBorder="1" applyAlignment="1">
      <alignment horizontal="left"/>
    </xf>
    <xf numFmtId="0" fontId="8" fillId="10" borderId="15" xfId="0" applyFont="1" applyFill="1" applyBorder="1" applyAlignment="1">
      <alignment horizontal="left"/>
    </xf>
    <xf numFmtId="164" fontId="10" fillId="10" borderId="41" xfId="1" applyFont="1" applyFill="1" applyBorder="1" applyAlignment="1">
      <alignment horizontal="right"/>
    </xf>
    <xf numFmtId="164" fontId="8" fillId="9" borderId="7" xfId="1" applyFont="1" applyFill="1" applyBorder="1" applyAlignment="1">
      <alignment horizontal="center" vertical="center"/>
    </xf>
    <xf numFmtId="164" fontId="8" fillId="10" borderId="42" xfId="1" applyFont="1" applyFill="1" applyBorder="1" applyAlignment="1">
      <alignment horizontal="center" vertical="top"/>
    </xf>
    <xf numFmtId="17" fontId="8" fillId="0" borderId="11" xfId="0" quotePrefix="1" applyNumberFormat="1" applyFont="1" applyBorder="1" applyAlignment="1">
      <alignment vertical="top"/>
    </xf>
    <xf numFmtId="0" fontId="8" fillId="0" borderId="11" xfId="0" quotePrefix="1" applyFont="1" applyBorder="1" applyAlignment="1">
      <alignment vertical="top"/>
    </xf>
    <xf numFmtId="164" fontId="8" fillId="10" borderId="25" xfId="1" applyFont="1" applyFill="1" applyBorder="1" applyAlignment="1">
      <alignment horizontal="right"/>
    </xf>
    <xf numFmtId="164" fontId="8" fillId="3" borderId="15" xfId="1" applyFont="1" applyFill="1" applyBorder="1" applyAlignment="1">
      <alignment horizontal="right" vertical="top"/>
    </xf>
    <xf numFmtId="164" fontId="8" fillId="3" borderId="0" xfId="1" applyFont="1" applyFill="1" applyBorder="1" applyAlignment="1">
      <alignment horizontal="right" vertical="top"/>
    </xf>
    <xf numFmtId="0" fontId="13" fillId="2" borderId="31" xfId="14" applyFont="1" applyFill="1" applyBorder="1" applyAlignment="1">
      <alignment vertical="center"/>
    </xf>
    <xf numFmtId="0" fontId="13" fillId="2" borderId="1" xfId="14" applyFont="1" applyFill="1" applyBorder="1" applyAlignment="1">
      <alignment horizontal="center" vertical="center"/>
    </xf>
    <xf numFmtId="0" fontId="13" fillId="2" borderId="35" xfId="14" applyFont="1" applyFill="1" applyBorder="1" applyAlignment="1">
      <alignment vertical="center"/>
    </xf>
    <xf numFmtId="0" fontId="27" fillId="11" borderId="43" xfId="14" applyFont="1" applyFill="1" applyBorder="1" applyAlignment="1">
      <alignment horizontal="center"/>
    </xf>
    <xf numFmtId="0" fontId="27" fillId="11" borderId="17" xfId="14" applyFont="1" applyFill="1" applyBorder="1" applyAlignment="1">
      <alignment horizontal="center"/>
    </xf>
    <xf numFmtId="0" fontId="27" fillId="11" borderId="25" xfId="14" applyFont="1" applyFill="1" applyBorder="1" applyAlignment="1">
      <alignment horizontal="center"/>
    </xf>
    <xf numFmtId="169" fontId="17" fillId="11" borderId="31" xfId="14" applyNumberFormat="1" applyFont="1" applyFill="1" applyBorder="1" applyAlignment="1">
      <alignment horizontal="center" vertical="center"/>
    </xf>
    <xf numFmtId="164" fontId="15" fillId="11" borderId="0" xfId="1" applyFont="1" applyFill="1"/>
    <xf numFmtId="43" fontId="15" fillId="11" borderId="31" xfId="15" applyFont="1" applyFill="1" applyBorder="1" applyAlignment="1">
      <alignment horizontal="center"/>
    </xf>
    <xf numFmtId="2" fontId="15" fillId="11" borderId="31" xfId="15" applyNumberFormat="1" applyFont="1" applyFill="1" applyBorder="1" applyAlignment="1">
      <alignment horizontal="center"/>
    </xf>
    <xf numFmtId="0" fontId="15" fillId="11" borderId="31" xfId="0" applyFont="1" applyFill="1" applyBorder="1" applyAlignment="1">
      <alignment horizontal="center" vertical="top"/>
    </xf>
    <xf numFmtId="0" fontId="15" fillId="11" borderId="31" xfId="0" applyFont="1" applyFill="1" applyBorder="1" applyAlignment="1">
      <alignment horizontal="center" vertical="center"/>
    </xf>
    <xf numFmtId="0" fontId="15" fillId="11" borderId="0" xfId="14" applyFont="1" applyFill="1" applyAlignment="1">
      <alignment vertical="center"/>
    </xf>
    <xf numFmtId="0" fontId="15" fillId="11" borderId="31" xfId="14" applyFont="1" applyFill="1" applyBorder="1" applyAlignment="1">
      <alignment vertical="center"/>
    </xf>
    <xf numFmtId="164" fontId="15" fillId="11" borderId="31" xfId="1" applyFont="1" applyFill="1" applyBorder="1" applyAlignment="1">
      <alignment horizontal="center" vertical="center"/>
    </xf>
    <xf numFmtId="170" fontId="15" fillId="11" borderId="31" xfId="1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11" xfId="0" applyFont="1" applyBorder="1"/>
    <xf numFmtId="0" fontId="20" fillId="0" borderId="34" xfId="0" applyFont="1" applyBorder="1"/>
    <xf numFmtId="49" fontId="20" fillId="0" borderId="1" xfId="0" applyNumberFormat="1" applyFont="1" applyBorder="1" applyAlignment="1">
      <alignment horizontal="right"/>
    </xf>
    <xf numFmtId="164" fontId="20" fillId="0" borderId="34" xfId="1" applyFont="1" applyBorder="1" applyAlignment="1"/>
    <xf numFmtId="0" fontId="20" fillId="0" borderId="35" xfId="0" applyFont="1" applyBorder="1"/>
    <xf numFmtId="0" fontId="20" fillId="0" borderId="4" xfId="0" applyFont="1" applyBorder="1"/>
    <xf numFmtId="0" fontId="20" fillId="0" borderId="15" xfId="0" applyFont="1" applyBorder="1"/>
    <xf numFmtId="0" fontId="20" fillId="0" borderId="44" xfId="0" applyFont="1" applyBorder="1"/>
    <xf numFmtId="9" fontId="15" fillId="11" borderId="31" xfId="13" applyFont="1" applyFill="1" applyBorder="1"/>
    <xf numFmtId="0" fontId="29" fillId="15" borderId="0" xfId="0" applyFont="1" applyFill="1"/>
    <xf numFmtId="165" fontId="10" fillId="3" borderId="17" xfId="1" applyNumberFormat="1" applyFont="1" applyFill="1" applyBorder="1" applyAlignment="1">
      <alignment horizontal="right" vertical="top"/>
    </xf>
    <xf numFmtId="164" fontId="8" fillId="9" borderId="45" xfId="1" applyFont="1" applyFill="1" applyBorder="1" applyAlignment="1">
      <alignment horizontal="center" vertical="top"/>
    </xf>
    <xf numFmtId="165" fontId="8" fillId="3" borderId="33" xfId="1" applyNumberFormat="1" applyFont="1" applyFill="1" applyBorder="1" applyAlignment="1">
      <alignment horizontal="right" vertical="top"/>
    </xf>
    <xf numFmtId="165" fontId="8" fillId="3" borderId="46" xfId="1" applyNumberFormat="1" applyFont="1" applyFill="1" applyBorder="1" applyAlignment="1">
      <alignment horizontal="right" vertical="top"/>
    </xf>
    <xf numFmtId="165" fontId="8" fillId="3" borderId="32" xfId="1" applyNumberFormat="1" applyFont="1" applyFill="1" applyBorder="1" applyAlignment="1">
      <alignment horizontal="right" vertical="top"/>
    </xf>
    <xf numFmtId="165" fontId="8" fillId="3" borderId="47" xfId="1" applyNumberFormat="1" applyFont="1" applyFill="1" applyBorder="1" applyAlignment="1">
      <alignment horizontal="right" vertical="top"/>
    </xf>
    <xf numFmtId="164" fontId="5" fillId="8" borderId="9" xfId="1" applyFont="1" applyFill="1" applyBorder="1" applyAlignment="1">
      <alignment horizontal="right" vertical="top"/>
    </xf>
    <xf numFmtId="165" fontId="8" fillId="3" borderId="43" xfId="1" applyNumberFormat="1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5" fontId="10" fillId="3" borderId="27" xfId="1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center" vertical="top"/>
    </xf>
    <xf numFmtId="164" fontId="7" fillId="0" borderId="5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4" fontId="8" fillId="9" borderId="32" xfId="1" applyFont="1" applyFill="1" applyBorder="1" applyAlignment="1">
      <alignment horizontal="center" vertical="center"/>
    </xf>
    <xf numFmtId="164" fontId="8" fillId="9" borderId="30" xfId="1" applyFont="1" applyFill="1" applyBorder="1" applyAlignment="1">
      <alignment horizontal="center" vertical="center"/>
    </xf>
    <xf numFmtId="164" fontId="8" fillId="9" borderId="33" xfId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14" borderId="0" xfId="0" applyFont="1" applyFill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14" borderId="15" xfId="0" applyFont="1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167" fontId="15" fillId="11" borderId="35" xfId="15" applyNumberFormat="1" applyFont="1" applyFill="1" applyBorder="1" applyAlignment="1">
      <alignment horizontal="center" vertical="center"/>
    </xf>
    <xf numFmtId="167" fontId="15" fillId="11" borderId="37" xfId="15" applyNumberFormat="1" applyFont="1" applyFill="1" applyBorder="1" applyAlignment="1">
      <alignment horizontal="center" vertical="center"/>
    </xf>
    <xf numFmtId="0" fontId="15" fillId="11" borderId="35" xfId="15" applyNumberFormat="1" applyFont="1" applyFill="1" applyBorder="1" applyAlignment="1">
      <alignment horizontal="center" vertical="center"/>
    </xf>
    <xf numFmtId="0" fontId="15" fillId="11" borderId="36" xfId="15" applyNumberFormat="1" applyFont="1" applyFill="1" applyBorder="1" applyAlignment="1">
      <alignment horizontal="center" vertical="center"/>
    </xf>
    <xf numFmtId="0" fontId="15" fillId="11" borderId="37" xfId="15" applyNumberFormat="1" applyFont="1" applyFill="1" applyBorder="1" applyAlignment="1">
      <alignment horizontal="center" vertical="center"/>
    </xf>
    <xf numFmtId="0" fontId="14" fillId="2" borderId="31" xfId="14" applyFont="1" applyFill="1" applyBorder="1" applyAlignment="1">
      <alignment horizontal="center" vertical="center"/>
    </xf>
    <xf numFmtId="168" fontId="15" fillId="11" borderId="31" xfId="15" applyNumberFormat="1" applyFont="1" applyFill="1" applyBorder="1" applyAlignment="1">
      <alignment horizontal="center" vertical="top"/>
    </xf>
    <xf numFmtId="0" fontId="15" fillId="11" borderId="1" xfId="14" applyFont="1" applyFill="1" applyBorder="1" applyAlignment="1">
      <alignment horizontal="center" vertical="top"/>
    </xf>
    <xf numFmtId="0" fontId="15" fillId="11" borderId="11" xfId="14" applyFont="1" applyFill="1" applyBorder="1" applyAlignment="1">
      <alignment horizontal="center" vertical="top"/>
    </xf>
    <xf numFmtId="0" fontId="15" fillId="11" borderId="34" xfId="14" applyFont="1" applyFill="1" applyBorder="1" applyAlignment="1">
      <alignment horizontal="center" vertical="top"/>
    </xf>
    <xf numFmtId="167" fontId="15" fillId="11" borderId="15" xfId="15" applyNumberFormat="1" applyFont="1" applyFill="1" applyBorder="1" applyAlignment="1">
      <alignment horizontal="center"/>
    </xf>
    <xf numFmtId="0" fontId="13" fillId="2" borderId="31" xfId="14" applyFont="1" applyFill="1" applyBorder="1" applyAlignment="1">
      <alignment horizontal="center" vertical="center"/>
    </xf>
    <xf numFmtId="0" fontId="15" fillId="11" borderId="35" xfId="14" applyFont="1" applyFill="1" applyBorder="1" applyAlignment="1">
      <alignment horizontal="center" vertical="center"/>
    </xf>
    <xf numFmtId="0" fontId="15" fillId="11" borderId="36" xfId="14" applyFont="1" applyFill="1" applyBorder="1" applyAlignment="1">
      <alignment horizontal="center" vertical="center"/>
    </xf>
    <xf numFmtId="0" fontId="15" fillId="11" borderId="37" xfId="14" applyFont="1" applyFill="1" applyBorder="1" applyAlignment="1">
      <alignment horizontal="center" vertical="center"/>
    </xf>
    <xf numFmtId="0" fontId="23" fillId="11" borderId="35" xfId="15" applyNumberFormat="1" applyFont="1" applyFill="1" applyBorder="1" applyAlignment="1">
      <alignment horizontal="center" vertical="center" wrapText="1"/>
    </xf>
    <xf numFmtId="0" fontId="23" fillId="11" borderId="36" xfId="15" applyNumberFormat="1" applyFont="1" applyFill="1" applyBorder="1" applyAlignment="1">
      <alignment horizontal="center" vertical="center" wrapText="1"/>
    </xf>
    <xf numFmtId="0" fontId="23" fillId="11" borderId="37" xfId="15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164" fontId="23" fillId="11" borderId="31" xfId="14" applyNumberFormat="1" applyFont="1" applyFill="1" applyBorder="1" applyAlignment="1">
      <alignment horizontal="center" vertical="top"/>
    </xf>
    <xf numFmtId="0" fontId="8" fillId="3" borderId="31" xfId="0" applyFont="1" applyFill="1" applyBorder="1"/>
    <xf numFmtId="165" fontId="8" fillId="3" borderId="31" xfId="1" applyNumberFormat="1" applyFont="1" applyFill="1" applyBorder="1"/>
    <xf numFmtId="164" fontId="8" fillId="3" borderId="31" xfId="1" applyFont="1" applyFill="1" applyBorder="1"/>
    <xf numFmtId="165" fontId="24" fillId="3" borderId="31" xfId="1" applyNumberFormat="1" applyFont="1" applyFill="1" applyBorder="1"/>
    <xf numFmtId="164" fontId="8" fillId="3" borderId="31" xfId="0" applyNumberFormat="1" applyFont="1" applyFill="1" applyBorder="1" applyAlignment="1">
      <alignment horizontal="center"/>
    </xf>
    <xf numFmtId="10" fontId="8" fillId="3" borderId="31" xfId="13" applyNumberFormat="1" applyFont="1" applyFill="1" applyBorder="1" applyAlignment="1">
      <alignment horizontal="center"/>
    </xf>
  </cellXfs>
  <cellStyles count="16">
    <cellStyle name="Comma" xfId="1" builtinId="3"/>
    <cellStyle name="Comma 10" xfId="12" xr:uid="{00000000-0005-0000-0000-000001000000}"/>
    <cellStyle name="Comma 2" xfId="11" xr:uid="{00000000-0005-0000-0000-000002000000}"/>
    <cellStyle name="Comma 3" xfId="15" xr:uid="{00000000-0005-0000-0000-000003000000}"/>
    <cellStyle name="Normal" xfId="0" builtinId="0"/>
    <cellStyle name="Normal 2" xfId="3" xr:uid="{00000000-0005-0000-0000-000005000000}"/>
    <cellStyle name="Normal 3" xfId="10" xr:uid="{00000000-0005-0000-0000-000006000000}"/>
    <cellStyle name="Normal 4" xfId="2" xr:uid="{00000000-0005-0000-0000-000007000000}"/>
    <cellStyle name="Normal 5" xfId="14" xr:uid="{00000000-0005-0000-0000-000008000000}"/>
    <cellStyle name="Percent" xfId="13" builtinId="5"/>
    <cellStyle name="SAPBEXaggData" xfId="9" xr:uid="{00000000-0005-0000-0000-00000A000000}"/>
    <cellStyle name="SAPBEXaggItem" xfId="6" xr:uid="{00000000-0005-0000-0000-00000B000000}"/>
    <cellStyle name="SAPBEXchaText" xfId="4" xr:uid="{00000000-0005-0000-0000-00000C000000}"/>
    <cellStyle name="SAPBEXformats" xfId="7" xr:uid="{00000000-0005-0000-0000-00000D000000}"/>
    <cellStyle name="SAPBEXstdData" xfId="8" xr:uid="{00000000-0005-0000-0000-00000E000000}"/>
    <cellStyle name="SAPBEXstdItem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zoomScale="60" zoomScaleNormal="60" zoomScaleSheetLayoutView="90" workbookViewId="0">
      <pane ySplit="3" topLeftCell="A20" activePane="bottomLeft" state="frozen"/>
      <selection pane="bottomLeft" activeCell="N30" sqref="N30"/>
    </sheetView>
  </sheetViews>
  <sheetFormatPr defaultColWidth="9.109375" defaultRowHeight="16.8"/>
  <cols>
    <col min="1" max="1" width="5.33203125" style="11" customWidth="1"/>
    <col min="2" max="2" width="4.6640625" style="11" customWidth="1"/>
    <col min="3" max="4" width="11.109375" style="11" customWidth="1"/>
    <col min="5" max="5" width="14.88671875" style="11" customWidth="1"/>
    <col min="6" max="6" width="12.44140625" style="11" customWidth="1"/>
    <col min="7" max="7" width="15.44140625" style="11" customWidth="1"/>
    <col min="8" max="8" width="14.44140625" style="39" hidden="1" customWidth="1"/>
    <col min="9" max="9" width="16.88671875" style="39" customWidth="1"/>
    <col min="10" max="10" width="18" style="39" customWidth="1"/>
    <col min="11" max="11" width="21.33203125" style="39" customWidth="1"/>
    <col min="12" max="14" width="16.44140625" style="39" customWidth="1"/>
    <col min="15" max="15" width="21.33203125" style="40" customWidth="1"/>
    <col min="16" max="16" width="40.33203125" style="11" customWidth="1"/>
    <col min="17" max="16384" width="9.109375" style="11"/>
  </cols>
  <sheetData>
    <row r="1" spans="1:16" ht="57.75" customHeight="1">
      <c r="A1" s="211" t="s">
        <v>80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27" thickBot="1">
      <c r="A2" s="7"/>
      <c r="B2" s="10"/>
      <c r="C2" s="6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70.8" thickBot="1">
      <c r="A3" s="221" t="s">
        <v>77</v>
      </c>
      <c r="B3" s="222"/>
      <c r="C3" s="222"/>
      <c r="D3" s="222"/>
      <c r="E3" s="222"/>
      <c r="F3" s="222"/>
      <c r="G3" s="48" t="s">
        <v>1</v>
      </c>
      <c r="H3" s="49" t="s">
        <v>78</v>
      </c>
      <c r="I3" s="49" t="s">
        <v>79</v>
      </c>
      <c r="J3" s="49" t="s">
        <v>240</v>
      </c>
      <c r="K3" s="49" t="s">
        <v>251</v>
      </c>
      <c r="L3" s="49" t="s">
        <v>252</v>
      </c>
      <c r="M3" s="49" t="s">
        <v>277</v>
      </c>
      <c r="N3" s="49" t="s">
        <v>278</v>
      </c>
      <c r="O3" s="47" t="s">
        <v>70</v>
      </c>
      <c r="P3" s="47" t="s">
        <v>85</v>
      </c>
    </row>
    <row r="4" spans="1:16" ht="47.25" customHeight="1" thickBot="1">
      <c r="A4" s="212" t="s">
        <v>26</v>
      </c>
      <c r="B4" s="213"/>
      <c r="C4" s="213"/>
      <c r="D4" s="213"/>
      <c r="E4" s="213"/>
      <c r="F4" s="213"/>
      <c r="G4" s="12"/>
      <c r="H4" s="13"/>
      <c r="I4" s="13"/>
      <c r="J4" s="13"/>
      <c r="K4" s="13"/>
      <c r="L4" s="13"/>
      <c r="M4" s="13"/>
      <c r="N4" s="13"/>
      <c r="O4" s="14"/>
      <c r="P4" s="14"/>
    </row>
    <row r="5" spans="1:16" ht="24.6">
      <c r="A5" s="1" t="s">
        <v>0</v>
      </c>
      <c r="B5" s="15" t="s">
        <v>2</v>
      </c>
      <c r="C5" s="16"/>
      <c r="D5" s="16"/>
      <c r="E5" s="16"/>
      <c r="F5" s="16"/>
      <c r="G5" s="5" t="s">
        <v>4</v>
      </c>
      <c r="H5" s="50">
        <v>1005100</v>
      </c>
      <c r="I5" s="50">
        <v>976350</v>
      </c>
      <c r="J5" s="50">
        <v>680900</v>
      </c>
      <c r="K5" s="50">
        <v>559940</v>
      </c>
      <c r="L5" s="50">
        <v>970510</v>
      </c>
      <c r="M5" s="50">
        <v>1037620</v>
      </c>
      <c r="N5" s="50">
        <v>987720</v>
      </c>
      <c r="O5" s="17" t="s">
        <v>71</v>
      </c>
      <c r="P5" s="42" t="s">
        <v>247</v>
      </c>
    </row>
    <row r="6" spans="1:16" ht="24.6">
      <c r="A6" s="1" t="s">
        <v>0</v>
      </c>
      <c r="B6" s="18" t="s">
        <v>3</v>
      </c>
      <c r="C6" s="19"/>
      <c r="D6" s="19"/>
      <c r="E6" s="19"/>
      <c r="F6" s="19"/>
      <c r="G6" s="2" t="s">
        <v>5</v>
      </c>
      <c r="H6" s="51">
        <v>1019800</v>
      </c>
      <c r="I6" s="51">
        <v>125400</v>
      </c>
      <c r="J6" s="50">
        <v>462000</v>
      </c>
      <c r="K6" s="50">
        <v>490129</v>
      </c>
      <c r="L6" s="50">
        <v>25750</v>
      </c>
      <c r="M6" s="50">
        <v>32853</v>
      </c>
      <c r="N6" s="50">
        <v>28433</v>
      </c>
      <c r="O6" s="17" t="s">
        <v>71</v>
      </c>
      <c r="P6" s="42" t="s">
        <v>247</v>
      </c>
    </row>
    <row r="7" spans="1:16" ht="24.6">
      <c r="A7" s="1" t="s">
        <v>0</v>
      </c>
      <c r="B7" s="18" t="s">
        <v>10</v>
      </c>
      <c r="C7" s="19"/>
      <c r="D7" s="19"/>
      <c r="E7" s="19"/>
      <c r="F7" s="19"/>
      <c r="G7" s="2" t="s">
        <v>15</v>
      </c>
      <c r="H7" s="3" t="s">
        <v>95</v>
      </c>
      <c r="I7" s="3" t="s">
        <v>95</v>
      </c>
      <c r="J7" s="20"/>
      <c r="K7" s="20"/>
      <c r="L7" s="20"/>
      <c r="M7" s="20"/>
      <c r="N7" s="20"/>
      <c r="O7" s="17" t="s">
        <v>71</v>
      </c>
      <c r="P7" s="42"/>
    </row>
    <row r="8" spans="1:16" ht="24.6">
      <c r="A8" s="1" t="s">
        <v>0</v>
      </c>
      <c r="B8" s="18" t="s">
        <v>7</v>
      </c>
      <c r="C8" s="19"/>
      <c r="D8" s="19"/>
      <c r="E8" s="19"/>
      <c r="F8" s="19"/>
      <c r="G8" s="2" t="s">
        <v>5</v>
      </c>
      <c r="H8" s="3" t="s">
        <v>95</v>
      </c>
      <c r="I8" s="3" t="s">
        <v>95</v>
      </c>
      <c r="J8" s="20"/>
      <c r="K8" s="20"/>
      <c r="L8" s="20"/>
      <c r="M8" s="20"/>
      <c r="N8" s="20"/>
      <c r="O8" s="17" t="s">
        <v>71</v>
      </c>
      <c r="P8" s="42"/>
    </row>
    <row r="9" spans="1:16" ht="24.6">
      <c r="A9" s="1" t="s">
        <v>0</v>
      </c>
      <c r="B9" s="18" t="s">
        <v>8</v>
      </c>
      <c r="C9" s="19"/>
      <c r="D9" s="19"/>
      <c r="E9" s="19"/>
      <c r="F9" s="19"/>
      <c r="G9" s="2" t="s">
        <v>5</v>
      </c>
      <c r="H9" s="3" t="s">
        <v>95</v>
      </c>
      <c r="I9" s="3" t="s">
        <v>95</v>
      </c>
      <c r="J9" s="20"/>
      <c r="K9" s="20"/>
      <c r="L9" s="20"/>
      <c r="M9" s="20"/>
      <c r="N9" s="20"/>
      <c r="O9" s="17" t="s">
        <v>71</v>
      </c>
      <c r="P9" s="42"/>
    </row>
    <row r="10" spans="1:16" ht="24.6">
      <c r="A10" s="1" t="s">
        <v>0</v>
      </c>
      <c r="B10" s="18" t="s">
        <v>14</v>
      </c>
      <c r="C10" s="19"/>
      <c r="D10" s="19"/>
      <c r="E10" s="19"/>
      <c r="F10" s="19"/>
      <c r="G10" s="2" t="s">
        <v>16</v>
      </c>
      <c r="H10" s="3" t="s">
        <v>95</v>
      </c>
      <c r="I10" s="3" t="s">
        <v>95</v>
      </c>
      <c r="J10" s="20"/>
      <c r="K10" s="20"/>
      <c r="L10" s="20"/>
      <c r="M10" s="20"/>
      <c r="N10" s="20"/>
      <c r="O10" s="17" t="s">
        <v>71</v>
      </c>
      <c r="P10" s="42"/>
    </row>
    <row r="11" spans="1:16" ht="25.2" thickBot="1">
      <c r="A11" s="1" t="s">
        <v>0</v>
      </c>
      <c r="B11" s="18" t="s">
        <v>6</v>
      </c>
      <c r="C11" s="19"/>
      <c r="D11" s="19"/>
      <c r="E11" s="19"/>
      <c r="F11" s="19"/>
      <c r="G11" s="2" t="s">
        <v>17</v>
      </c>
      <c r="H11" s="3" t="s">
        <v>95</v>
      </c>
      <c r="I11" s="3" t="s">
        <v>95</v>
      </c>
      <c r="J11" s="20"/>
      <c r="K11" s="20"/>
      <c r="L11" s="20"/>
      <c r="M11" s="20"/>
      <c r="N11" s="20"/>
      <c r="O11" s="17" t="s">
        <v>71</v>
      </c>
      <c r="P11" s="42"/>
    </row>
    <row r="12" spans="1:16" ht="24" thickBot="1">
      <c r="A12" s="212" t="s">
        <v>27</v>
      </c>
      <c r="B12" s="213"/>
      <c r="C12" s="213"/>
      <c r="D12" s="213"/>
      <c r="E12" s="213"/>
      <c r="F12" s="213"/>
      <c r="G12" s="12"/>
      <c r="H12" s="13"/>
      <c r="I12" s="13"/>
      <c r="J12" s="13"/>
      <c r="K12" s="13"/>
      <c r="L12" s="13"/>
      <c r="M12" s="13"/>
      <c r="N12" s="13"/>
      <c r="O12" s="14"/>
      <c r="P12" s="14"/>
    </row>
    <row r="13" spans="1:16" ht="24.6">
      <c r="A13" s="1" t="s">
        <v>0</v>
      </c>
      <c r="B13" s="15" t="s">
        <v>3</v>
      </c>
      <c r="C13" s="16"/>
      <c r="D13" s="16"/>
      <c r="E13" s="16"/>
      <c r="F13" s="16"/>
      <c r="G13" s="5" t="s">
        <v>5</v>
      </c>
      <c r="H13" s="22">
        <v>19294</v>
      </c>
      <c r="I13" s="22">
        <v>65009</v>
      </c>
      <c r="J13" s="207">
        <v>64736</v>
      </c>
      <c r="K13" s="207">
        <v>64789</v>
      </c>
      <c r="L13" s="207">
        <v>39058</v>
      </c>
      <c r="M13" s="207">
        <v>36772</v>
      </c>
      <c r="N13" s="207">
        <v>42153</v>
      </c>
      <c r="O13" s="17" t="s">
        <v>246</v>
      </c>
      <c r="P13" s="42"/>
    </row>
    <row r="14" spans="1:16" ht="98.4">
      <c r="A14" s="1" t="s">
        <v>0</v>
      </c>
      <c r="B14" s="18" t="s">
        <v>9</v>
      </c>
      <c r="C14" s="19"/>
      <c r="D14" s="19"/>
      <c r="E14" s="19"/>
      <c r="F14" s="19"/>
      <c r="G14" s="2" t="s">
        <v>5</v>
      </c>
      <c r="H14" s="24">
        <v>34443</v>
      </c>
      <c r="I14" s="24">
        <v>19294</v>
      </c>
      <c r="J14" s="207">
        <v>15808</v>
      </c>
      <c r="K14" s="207">
        <v>19981</v>
      </c>
      <c r="L14" s="207">
        <v>16218</v>
      </c>
      <c r="M14" s="207">
        <v>14177</v>
      </c>
      <c r="N14" s="207">
        <v>15949</v>
      </c>
      <c r="O14" s="17" t="s">
        <v>246</v>
      </c>
      <c r="P14" s="52" t="s">
        <v>87</v>
      </c>
    </row>
    <row r="15" spans="1:16" ht="24.6">
      <c r="A15" s="1" t="s">
        <v>0</v>
      </c>
      <c r="B15" s="18" t="s">
        <v>11</v>
      </c>
      <c r="C15" s="19"/>
      <c r="D15" s="19"/>
      <c r="E15" s="19"/>
      <c r="F15" s="19"/>
      <c r="G15" s="2" t="s">
        <v>15</v>
      </c>
      <c r="H15" s="3" t="s">
        <v>95</v>
      </c>
      <c r="I15" s="3" t="s">
        <v>95</v>
      </c>
      <c r="J15" s="20"/>
      <c r="K15" s="20"/>
      <c r="L15" s="20"/>
      <c r="M15" s="20"/>
      <c r="N15" s="20"/>
      <c r="O15" s="17" t="s">
        <v>71</v>
      </c>
      <c r="P15" s="42"/>
    </row>
    <row r="16" spans="1:16" ht="24.6">
      <c r="A16" s="1" t="s">
        <v>0</v>
      </c>
      <c r="B16" s="18" t="s">
        <v>10</v>
      </c>
      <c r="C16" s="19"/>
      <c r="D16" s="19"/>
      <c r="E16" s="19"/>
      <c r="F16" s="19"/>
      <c r="G16" s="2" t="s">
        <v>15</v>
      </c>
      <c r="H16" s="3" t="s">
        <v>95</v>
      </c>
      <c r="I16" s="3" t="s">
        <v>95</v>
      </c>
      <c r="J16" s="20"/>
      <c r="K16" s="20"/>
      <c r="L16" s="20"/>
      <c r="M16" s="20"/>
      <c r="N16" s="20"/>
      <c r="O16" s="17" t="s">
        <v>71</v>
      </c>
      <c r="P16" s="42"/>
    </row>
    <row r="17" spans="1:16" ht="24.6">
      <c r="A17" s="1" t="s">
        <v>0</v>
      </c>
      <c r="B17" s="18" t="s">
        <v>12</v>
      </c>
      <c r="C17" s="19"/>
      <c r="D17" s="19"/>
      <c r="E17" s="19"/>
      <c r="F17" s="19"/>
      <c r="G17" s="2" t="s">
        <v>5</v>
      </c>
      <c r="H17" s="3" t="s">
        <v>95</v>
      </c>
      <c r="I17" s="3" t="s">
        <v>95</v>
      </c>
      <c r="J17" s="20"/>
      <c r="K17" s="20"/>
      <c r="L17" s="20"/>
      <c r="M17" s="20"/>
      <c r="N17" s="20"/>
      <c r="O17" s="17" t="s">
        <v>71</v>
      </c>
      <c r="P17" s="42"/>
    </row>
    <row r="18" spans="1:16" ht="24.6">
      <c r="A18" s="1" t="s">
        <v>0</v>
      </c>
      <c r="B18" s="18" t="s">
        <v>13</v>
      </c>
      <c r="C18" s="19"/>
      <c r="D18" s="19"/>
      <c r="E18" s="19"/>
      <c r="F18" s="19"/>
      <c r="G18" s="2" t="s">
        <v>15</v>
      </c>
      <c r="H18" s="3" t="s">
        <v>95</v>
      </c>
      <c r="I18" s="3" t="s">
        <v>95</v>
      </c>
      <c r="J18" s="20">
        <v>4674.58</v>
      </c>
      <c r="K18" s="20">
        <v>10195.64</v>
      </c>
      <c r="L18" s="20">
        <v>11612</v>
      </c>
      <c r="M18" s="20">
        <v>10828</v>
      </c>
      <c r="N18" s="20">
        <v>10017.6</v>
      </c>
      <c r="O18" s="17" t="s">
        <v>71</v>
      </c>
      <c r="P18" s="42"/>
    </row>
    <row r="19" spans="1:16" ht="25.2" thickBot="1">
      <c r="A19" s="1" t="s">
        <v>0</v>
      </c>
      <c r="B19" s="18" t="s">
        <v>6</v>
      </c>
      <c r="C19" s="19"/>
      <c r="D19" s="19"/>
      <c r="E19" s="19"/>
      <c r="F19" s="19"/>
      <c r="G19" s="2" t="s">
        <v>5</v>
      </c>
      <c r="H19" s="3" t="s">
        <v>95</v>
      </c>
      <c r="I19" s="3" t="s">
        <v>95</v>
      </c>
      <c r="J19" s="20"/>
      <c r="K19" s="20"/>
      <c r="L19" s="20"/>
      <c r="M19" s="20"/>
      <c r="N19" s="20"/>
      <c r="O19" s="17" t="s">
        <v>71</v>
      </c>
      <c r="P19" s="42"/>
    </row>
    <row r="20" spans="1:16" ht="24" thickBot="1">
      <c r="A20" s="212" t="s">
        <v>18</v>
      </c>
      <c r="B20" s="213"/>
      <c r="C20" s="213"/>
      <c r="D20" s="213"/>
      <c r="E20" s="213"/>
      <c r="F20" s="213"/>
      <c r="G20" s="12"/>
      <c r="H20" s="13"/>
      <c r="I20" s="13"/>
      <c r="J20" s="203"/>
      <c r="K20" s="13"/>
      <c r="L20" s="13"/>
      <c r="M20" s="13"/>
      <c r="N20" s="13"/>
      <c r="O20" s="14"/>
      <c r="P20" s="14"/>
    </row>
    <row r="21" spans="1:16" ht="24.6">
      <c r="A21" s="1" t="s">
        <v>0</v>
      </c>
      <c r="B21" s="21" t="s">
        <v>20</v>
      </c>
      <c r="C21" s="16"/>
      <c r="D21" s="16"/>
      <c r="E21" s="16"/>
      <c r="F21" s="16"/>
      <c r="G21" s="5" t="s">
        <v>59</v>
      </c>
      <c r="H21" s="22">
        <v>23</v>
      </c>
      <c r="I21" s="199">
        <v>32</v>
      </c>
      <c r="J21" s="204">
        <v>106</v>
      </c>
      <c r="K21" s="204">
        <v>110</v>
      </c>
      <c r="L21" s="204">
        <v>152</v>
      </c>
      <c r="M21" s="204">
        <v>95</v>
      </c>
      <c r="N21" s="204">
        <v>108</v>
      </c>
      <c r="O21" s="198" t="s">
        <v>72</v>
      </c>
      <c r="P21" s="42"/>
    </row>
    <row r="22" spans="1:16" ht="24.6">
      <c r="A22" s="1" t="s">
        <v>0</v>
      </c>
      <c r="B22" s="23" t="s">
        <v>19</v>
      </c>
      <c r="C22" s="19"/>
      <c r="D22" s="19"/>
      <c r="E22" s="19"/>
      <c r="F22" s="19"/>
      <c r="G22" s="2" t="s">
        <v>59</v>
      </c>
      <c r="H22" s="24" t="s">
        <v>0</v>
      </c>
      <c r="I22" s="200" t="s">
        <v>0</v>
      </c>
      <c r="J22" s="22" t="s">
        <v>0</v>
      </c>
      <c r="K22" s="22" t="s">
        <v>0</v>
      </c>
      <c r="L22" s="22" t="s">
        <v>0</v>
      </c>
      <c r="M22" s="22" t="s">
        <v>0</v>
      </c>
      <c r="N22" s="22"/>
      <c r="O22" s="198" t="s">
        <v>72</v>
      </c>
      <c r="P22" s="42" t="s">
        <v>279</v>
      </c>
    </row>
    <row r="23" spans="1:16" ht="24.6">
      <c r="A23" s="1" t="s">
        <v>0</v>
      </c>
      <c r="B23" s="23" t="s">
        <v>21</v>
      </c>
      <c r="C23" s="19"/>
      <c r="D23" s="19"/>
      <c r="E23" s="19"/>
      <c r="F23" s="19"/>
      <c r="G23" s="2" t="s">
        <v>59</v>
      </c>
      <c r="H23" s="24">
        <v>920</v>
      </c>
      <c r="I23" s="200">
        <v>920</v>
      </c>
      <c r="J23" s="22">
        <f>SUM(J24:J25)</f>
        <v>2517</v>
      </c>
      <c r="K23" s="22">
        <f t="shared" ref="K23:M23" si="0">SUM(K24:K25)</f>
        <v>4784</v>
      </c>
      <c r="L23" s="22">
        <f t="shared" si="0"/>
        <v>5467</v>
      </c>
      <c r="M23" s="22">
        <f t="shared" si="0"/>
        <v>4402</v>
      </c>
      <c r="N23" s="22">
        <v>4858</v>
      </c>
      <c r="O23" s="198" t="s">
        <v>72</v>
      </c>
      <c r="P23" s="42"/>
    </row>
    <row r="24" spans="1:16" ht="24.6">
      <c r="A24" s="1"/>
      <c r="B24" s="23"/>
      <c r="C24" s="19" t="s">
        <v>280</v>
      </c>
      <c r="D24" s="19"/>
      <c r="E24" s="19"/>
      <c r="F24" s="19"/>
      <c r="G24" s="2"/>
      <c r="H24" s="24"/>
      <c r="I24" s="200"/>
      <c r="J24" s="22">
        <v>128</v>
      </c>
      <c r="K24" s="22">
        <v>215</v>
      </c>
      <c r="L24" s="22">
        <v>235</v>
      </c>
      <c r="M24" s="22">
        <v>194</v>
      </c>
      <c r="N24" s="22"/>
      <c r="O24" s="198"/>
      <c r="P24" s="42"/>
    </row>
    <row r="25" spans="1:16" ht="24.6">
      <c r="A25" s="1"/>
      <c r="B25" s="23"/>
      <c r="C25" s="19" t="s">
        <v>281</v>
      </c>
      <c r="D25" s="19"/>
      <c r="E25" s="19"/>
      <c r="F25" s="19"/>
      <c r="G25" s="2"/>
      <c r="H25" s="24"/>
      <c r="I25" s="200"/>
      <c r="J25" s="22">
        <v>2389</v>
      </c>
      <c r="K25" s="22">
        <v>4569</v>
      </c>
      <c r="L25" s="22">
        <v>5232</v>
      </c>
      <c r="M25" s="22">
        <v>4208</v>
      </c>
      <c r="N25" s="22"/>
      <c r="O25" s="198"/>
      <c r="P25" s="42"/>
    </row>
    <row r="26" spans="1:16" ht="24.6">
      <c r="A26" s="1" t="s">
        <v>0</v>
      </c>
      <c r="B26" s="23" t="s">
        <v>22</v>
      </c>
      <c r="C26" s="19"/>
      <c r="D26" s="19"/>
      <c r="E26" s="19"/>
      <c r="F26" s="19"/>
      <c r="G26" s="2" t="s">
        <v>59</v>
      </c>
      <c r="H26" s="24" t="s">
        <v>0</v>
      </c>
      <c r="I26" s="200" t="s">
        <v>0</v>
      </c>
      <c r="J26" s="22" t="s">
        <v>0</v>
      </c>
      <c r="K26" s="22" t="s">
        <v>0</v>
      </c>
      <c r="L26" s="22" t="s">
        <v>0</v>
      </c>
      <c r="M26" s="22" t="s">
        <v>0</v>
      </c>
      <c r="N26" s="22"/>
      <c r="O26" s="198" t="s">
        <v>72</v>
      </c>
      <c r="P26" s="42" t="s">
        <v>279</v>
      </c>
    </row>
    <row r="27" spans="1:16" ht="24.6">
      <c r="A27" s="1" t="s">
        <v>0</v>
      </c>
      <c r="B27" s="23" t="s">
        <v>23</v>
      </c>
      <c r="C27" s="19"/>
      <c r="D27" s="19"/>
      <c r="E27" s="19"/>
      <c r="F27" s="19"/>
      <c r="G27" s="2" t="s">
        <v>59</v>
      </c>
      <c r="H27" s="24">
        <v>18100</v>
      </c>
      <c r="I27" s="200">
        <v>13500</v>
      </c>
      <c r="J27" s="22">
        <v>11500</v>
      </c>
      <c r="K27" s="22">
        <v>11500</v>
      </c>
      <c r="L27" s="22">
        <v>12500</v>
      </c>
      <c r="M27" s="22">
        <v>12500</v>
      </c>
      <c r="N27" s="22">
        <v>12500</v>
      </c>
      <c r="O27" s="198" t="s">
        <v>72</v>
      </c>
      <c r="P27" s="42"/>
    </row>
    <row r="28" spans="1:16" ht="24.6">
      <c r="A28" s="1" t="s">
        <v>0</v>
      </c>
      <c r="B28" s="25" t="s">
        <v>60</v>
      </c>
      <c r="C28" s="26"/>
      <c r="D28" s="26"/>
      <c r="E28" s="26"/>
      <c r="F28" s="26"/>
      <c r="G28" s="2" t="s">
        <v>59</v>
      </c>
      <c r="H28" s="27">
        <v>35</v>
      </c>
      <c r="I28" s="201">
        <v>32</v>
      </c>
      <c r="J28" s="24">
        <v>26</v>
      </c>
      <c r="K28" s="24">
        <v>30</v>
      </c>
      <c r="L28" s="24">
        <v>35</v>
      </c>
      <c r="M28" s="24">
        <v>25</v>
      </c>
      <c r="N28" s="24">
        <v>30</v>
      </c>
      <c r="O28" s="198" t="s">
        <v>72</v>
      </c>
      <c r="P28" s="42"/>
    </row>
    <row r="29" spans="1:16" ht="24.6">
      <c r="A29" s="1" t="s">
        <v>0</v>
      </c>
      <c r="B29" s="25" t="s">
        <v>24</v>
      </c>
      <c r="C29" s="26"/>
      <c r="D29" s="26"/>
      <c r="E29" s="26"/>
      <c r="F29" s="26"/>
      <c r="G29" s="2" t="s">
        <v>59</v>
      </c>
      <c r="H29" s="27">
        <v>40</v>
      </c>
      <c r="I29" s="201">
        <v>37</v>
      </c>
      <c r="J29" s="24">
        <v>32</v>
      </c>
      <c r="K29" s="24">
        <v>35</v>
      </c>
      <c r="L29" s="24">
        <v>33</v>
      </c>
      <c r="M29" s="24">
        <v>26</v>
      </c>
      <c r="N29" s="24">
        <v>30</v>
      </c>
      <c r="O29" s="198" t="s">
        <v>72</v>
      </c>
      <c r="P29" s="42"/>
    </row>
    <row r="30" spans="1:16" ht="25.2" thickBot="1">
      <c r="A30" s="1" t="s">
        <v>0</v>
      </c>
      <c r="B30" s="25" t="s">
        <v>86</v>
      </c>
      <c r="C30" s="26"/>
      <c r="D30" s="26"/>
      <c r="E30" s="26"/>
      <c r="F30" s="26"/>
      <c r="G30" s="2" t="s">
        <v>59</v>
      </c>
      <c r="H30" s="27">
        <v>83</v>
      </c>
      <c r="I30" s="202">
        <v>90</v>
      </c>
      <c r="J30" s="38">
        <v>76</v>
      </c>
      <c r="K30" s="38">
        <v>88</v>
      </c>
      <c r="L30" s="38">
        <v>74</v>
      </c>
      <c r="M30" s="38">
        <v>18</v>
      </c>
      <c r="N30" s="38">
        <v>18</v>
      </c>
      <c r="O30" s="198" t="s">
        <v>72</v>
      </c>
      <c r="P30" s="42"/>
    </row>
    <row r="31" spans="1:16" ht="25.2" thickBot="1">
      <c r="A31" s="212" t="s">
        <v>25</v>
      </c>
      <c r="B31" s="213"/>
      <c r="C31" s="213"/>
      <c r="D31" s="213"/>
      <c r="E31" s="213"/>
      <c r="F31" s="213"/>
      <c r="G31" s="28"/>
      <c r="H31" s="29"/>
      <c r="I31" s="29"/>
      <c r="J31" s="33"/>
      <c r="K31" s="33"/>
      <c r="L31" s="33"/>
      <c r="M31" s="33"/>
      <c r="N31" s="33"/>
      <c r="O31" s="30"/>
      <c r="P31" s="30"/>
    </row>
    <row r="32" spans="1:16" ht="48.75" customHeight="1">
      <c r="A32" s="1" t="s">
        <v>0</v>
      </c>
      <c r="B32" s="217" t="s">
        <v>61</v>
      </c>
      <c r="C32" s="218"/>
      <c r="D32" s="218"/>
      <c r="E32" s="218"/>
      <c r="F32" s="218"/>
      <c r="G32" s="5" t="s">
        <v>62</v>
      </c>
      <c r="H32" s="22">
        <v>6882</v>
      </c>
      <c r="I32" s="22">
        <v>6883</v>
      </c>
      <c r="J32" s="22"/>
      <c r="K32" s="22"/>
      <c r="L32" s="22"/>
      <c r="M32" s="22"/>
      <c r="N32" s="22"/>
      <c r="O32" s="17" t="s">
        <v>73</v>
      </c>
      <c r="P32" s="42"/>
    </row>
    <row r="33" spans="1:16" ht="24.6">
      <c r="A33" s="1" t="s">
        <v>0</v>
      </c>
      <c r="B33" s="23" t="s">
        <v>68</v>
      </c>
      <c r="C33" s="19"/>
      <c r="D33" s="19"/>
      <c r="E33" s="19"/>
      <c r="F33" s="19"/>
      <c r="G33" s="2" t="s">
        <v>63</v>
      </c>
      <c r="H33" s="24">
        <v>28446</v>
      </c>
      <c r="I33" s="24">
        <v>0</v>
      </c>
      <c r="J33" s="24"/>
      <c r="K33" s="24"/>
      <c r="L33" s="24"/>
      <c r="M33" s="24"/>
      <c r="N33" s="24"/>
      <c r="O33" s="4" t="s">
        <v>74</v>
      </c>
      <c r="P33" s="44"/>
    </row>
    <row r="34" spans="1:16" ht="24.6">
      <c r="A34" s="1" t="s">
        <v>0</v>
      </c>
      <c r="B34" s="23" t="s">
        <v>28</v>
      </c>
      <c r="C34" s="19"/>
      <c r="D34" s="19"/>
      <c r="E34" s="19"/>
      <c r="F34" s="19"/>
      <c r="G34" s="2" t="s">
        <v>63</v>
      </c>
      <c r="H34" s="24">
        <v>27056</v>
      </c>
      <c r="I34" s="24">
        <v>0</v>
      </c>
      <c r="J34" s="24"/>
      <c r="K34" s="24"/>
      <c r="L34" s="24"/>
      <c r="M34" s="24"/>
      <c r="N34" s="24"/>
      <c r="O34" s="4" t="s">
        <v>74</v>
      </c>
      <c r="P34" s="44"/>
    </row>
    <row r="35" spans="1:16" ht="24.6">
      <c r="A35" s="1" t="s">
        <v>0</v>
      </c>
      <c r="B35" s="23" t="s">
        <v>29</v>
      </c>
      <c r="C35" s="19"/>
      <c r="D35" s="19"/>
      <c r="E35" s="19"/>
      <c r="F35" s="165" t="s">
        <v>248</v>
      </c>
      <c r="G35" s="2" t="s">
        <v>63</v>
      </c>
      <c r="H35" s="24">
        <v>7704</v>
      </c>
      <c r="I35" s="24">
        <v>0</v>
      </c>
      <c r="J35" s="24">
        <v>27200</v>
      </c>
      <c r="K35" s="24"/>
      <c r="L35" s="24"/>
      <c r="M35" s="24"/>
      <c r="N35" s="24"/>
      <c r="O35" s="4" t="s">
        <v>74</v>
      </c>
      <c r="P35" s="44"/>
    </row>
    <row r="36" spans="1:16" ht="24.6">
      <c r="A36" s="1" t="s">
        <v>0</v>
      </c>
      <c r="B36" s="23" t="s">
        <v>30</v>
      </c>
      <c r="C36" s="19"/>
      <c r="D36" s="19"/>
      <c r="E36" s="19"/>
      <c r="F36" s="166" t="s">
        <v>249</v>
      </c>
      <c r="G36" s="2" t="s">
        <v>63</v>
      </c>
      <c r="H36" s="24" t="s">
        <v>0</v>
      </c>
      <c r="I36" s="24">
        <v>28522</v>
      </c>
      <c r="J36" s="24"/>
      <c r="K36" s="24"/>
      <c r="L36" s="24"/>
      <c r="M36" s="24"/>
      <c r="N36" s="24"/>
      <c r="O36" s="4" t="s">
        <v>74</v>
      </c>
      <c r="P36" s="44"/>
    </row>
    <row r="37" spans="1:16" ht="24.6">
      <c r="A37" s="1" t="s">
        <v>0</v>
      </c>
      <c r="B37" s="23" t="s">
        <v>69</v>
      </c>
      <c r="C37" s="19"/>
      <c r="D37" s="19"/>
      <c r="E37" s="19"/>
      <c r="F37" s="166" t="s">
        <v>250</v>
      </c>
      <c r="G37" s="2" t="s">
        <v>63</v>
      </c>
      <c r="H37" s="24" t="s">
        <v>0</v>
      </c>
      <c r="I37" s="24">
        <v>27200</v>
      </c>
      <c r="J37" s="24"/>
      <c r="K37" s="24"/>
      <c r="L37" s="24"/>
      <c r="M37" s="24"/>
      <c r="N37" s="24"/>
      <c r="O37" s="4" t="s">
        <v>74</v>
      </c>
      <c r="P37" s="44"/>
    </row>
    <row r="38" spans="1:16" ht="24.6">
      <c r="A38" s="1" t="s">
        <v>0</v>
      </c>
      <c r="B38" s="23" t="s">
        <v>31</v>
      </c>
      <c r="C38" s="19"/>
      <c r="D38" s="19"/>
      <c r="E38" s="19"/>
      <c r="F38" s="19"/>
      <c r="G38" s="2" t="s">
        <v>64</v>
      </c>
      <c r="H38" s="24">
        <v>45034</v>
      </c>
      <c r="I38" s="24">
        <v>43699</v>
      </c>
      <c r="J38" s="24"/>
      <c r="K38" s="24"/>
      <c r="L38" s="24"/>
      <c r="M38" s="24"/>
      <c r="N38" s="24"/>
      <c r="O38" s="4" t="s">
        <v>75</v>
      </c>
      <c r="P38" s="44"/>
    </row>
    <row r="39" spans="1:16" ht="24.6">
      <c r="A39" s="1" t="s">
        <v>0</v>
      </c>
      <c r="B39" s="23" t="s">
        <v>32</v>
      </c>
      <c r="C39" s="19"/>
      <c r="D39" s="19"/>
      <c r="E39" s="19"/>
      <c r="F39" s="19"/>
      <c r="G39" s="2" t="s">
        <v>64</v>
      </c>
      <c r="H39" s="24">
        <v>1335448</v>
      </c>
      <c r="I39" s="24">
        <v>1437985</v>
      </c>
      <c r="J39" s="24"/>
      <c r="K39" s="24"/>
      <c r="L39" s="24"/>
      <c r="M39" s="24"/>
      <c r="N39" s="24"/>
      <c r="O39" s="4" t="s">
        <v>75</v>
      </c>
      <c r="P39" s="44"/>
    </row>
    <row r="40" spans="1:16" ht="24.6">
      <c r="A40" s="1" t="s">
        <v>0</v>
      </c>
      <c r="B40" s="23" t="s">
        <v>58</v>
      </c>
      <c r="C40" s="19"/>
      <c r="D40" s="19"/>
      <c r="E40" s="19"/>
      <c r="F40" s="19"/>
      <c r="G40" s="2" t="s">
        <v>64</v>
      </c>
      <c r="H40" s="3">
        <v>0</v>
      </c>
      <c r="I40" s="3">
        <v>0</v>
      </c>
      <c r="J40" s="3"/>
      <c r="K40" s="3"/>
      <c r="L40" s="3"/>
      <c r="M40" s="3"/>
      <c r="N40" s="3"/>
      <c r="O40" s="4" t="s">
        <v>75</v>
      </c>
      <c r="P40" s="44"/>
    </row>
    <row r="41" spans="1:16" ht="24.6">
      <c r="A41" s="1" t="s">
        <v>0</v>
      </c>
      <c r="B41" s="23" t="s">
        <v>33</v>
      </c>
      <c r="C41" s="19"/>
      <c r="D41" s="19"/>
      <c r="E41" s="19"/>
      <c r="F41" s="19"/>
      <c r="G41" s="2" t="s">
        <v>65</v>
      </c>
      <c r="H41" s="24">
        <v>2241455</v>
      </c>
      <c r="I41" s="24">
        <v>2056230</v>
      </c>
      <c r="J41" s="24">
        <v>1867088</v>
      </c>
      <c r="K41" s="24">
        <v>2066558</v>
      </c>
      <c r="L41" s="24">
        <v>1904626</v>
      </c>
      <c r="M41" s="24">
        <v>1472836</v>
      </c>
      <c r="N41" s="24">
        <v>2056051</v>
      </c>
      <c r="O41" s="4" t="s">
        <v>82</v>
      </c>
      <c r="P41" s="44"/>
    </row>
    <row r="42" spans="1:16" ht="24.6">
      <c r="A42" s="1" t="s">
        <v>0</v>
      </c>
      <c r="B42" s="23" t="s">
        <v>34</v>
      </c>
      <c r="C42" s="19"/>
      <c r="D42" s="19"/>
      <c r="E42" s="19"/>
      <c r="F42" s="19"/>
      <c r="G42" s="2" t="s">
        <v>15</v>
      </c>
      <c r="H42" s="24">
        <f>801450+0</f>
        <v>801450</v>
      </c>
      <c r="I42" s="24">
        <f>986250+0</f>
        <v>986250</v>
      </c>
      <c r="J42" s="24">
        <f>2650*365</f>
        <v>967250</v>
      </c>
      <c r="K42" s="24">
        <v>714004</v>
      </c>
      <c r="L42" s="197">
        <v>670043</v>
      </c>
      <c r="M42" s="24">
        <v>760723</v>
      </c>
      <c r="N42" s="24">
        <v>834619</v>
      </c>
      <c r="O42" s="4" t="s">
        <v>84</v>
      </c>
      <c r="P42" s="44"/>
    </row>
    <row r="43" spans="1:16" ht="24.6">
      <c r="A43" s="1" t="s">
        <v>0</v>
      </c>
      <c r="B43" s="23" t="s">
        <v>35</v>
      </c>
      <c r="C43" s="19"/>
      <c r="D43" s="19"/>
      <c r="E43" s="19"/>
      <c r="F43" s="19"/>
      <c r="G43" s="2" t="s">
        <v>15</v>
      </c>
      <c r="H43" s="24">
        <f>1705003+0</f>
        <v>1705003</v>
      </c>
      <c r="I43" s="24">
        <v>5310000</v>
      </c>
      <c r="J43" s="24">
        <f>(300*7*1000)+953750+18200</f>
        <v>3071950</v>
      </c>
      <c r="K43" s="24">
        <f>(250*6*1000)*2</f>
        <v>3000000</v>
      </c>
      <c r="L43" s="24">
        <f>(2365.37+257.88)*1000</f>
        <v>2623250</v>
      </c>
      <c r="M43" s="24">
        <f>2586065.2+281891</f>
        <v>2867956.2</v>
      </c>
      <c r="N43" s="24">
        <f>2286.59*1000+(411.546*1000)</f>
        <v>2698136</v>
      </c>
      <c r="O43" s="4" t="s">
        <v>83</v>
      </c>
      <c r="P43" s="44"/>
    </row>
    <row r="44" spans="1:16" ht="24.6">
      <c r="A44" s="1" t="s">
        <v>0</v>
      </c>
      <c r="B44" s="23" t="s">
        <v>36</v>
      </c>
      <c r="C44" s="19"/>
      <c r="D44" s="19"/>
      <c r="E44" s="19"/>
      <c r="F44" s="19"/>
      <c r="G44" s="2" t="s">
        <v>15</v>
      </c>
      <c r="H44" s="24" t="s">
        <v>0</v>
      </c>
      <c r="I44" s="24" t="s">
        <v>0</v>
      </c>
      <c r="J44" s="24">
        <v>0</v>
      </c>
      <c r="K44" s="24">
        <v>0</v>
      </c>
      <c r="L44" s="24">
        <v>0</v>
      </c>
      <c r="M44" s="24">
        <v>0</v>
      </c>
      <c r="N44" s="24"/>
      <c r="O44" s="4" t="s">
        <v>84</v>
      </c>
      <c r="P44" s="44"/>
    </row>
    <row r="45" spans="1:16" ht="24.6">
      <c r="A45" s="31" t="s">
        <v>0</v>
      </c>
      <c r="B45" s="23" t="s">
        <v>37</v>
      </c>
      <c r="C45" s="19"/>
      <c r="D45" s="19"/>
      <c r="E45" s="19"/>
      <c r="F45" s="19"/>
      <c r="G45" s="2" t="s">
        <v>15</v>
      </c>
      <c r="H45" s="24">
        <f>1711717+0</f>
        <v>1711717</v>
      </c>
      <c r="I45" s="24">
        <v>5310000</v>
      </c>
      <c r="J45" s="24">
        <f>2435.2*1000</f>
        <v>2435200</v>
      </c>
      <c r="K45" s="24">
        <f>495*1000</f>
        <v>495000</v>
      </c>
      <c r="L45" s="197">
        <f>L43*0.1</f>
        <v>262325</v>
      </c>
      <c r="M45" s="197">
        <f>323*1000</f>
        <v>323000</v>
      </c>
      <c r="N45" s="24">
        <v>314660</v>
      </c>
      <c r="O45" s="4" t="s">
        <v>83</v>
      </c>
      <c r="P45" s="44"/>
    </row>
    <row r="46" spans="1:16" ht="25.2" thickBot="1">
      <c r="A46" s="219" t="s">
        <v>38</v>
      </c>
      <c r="B46" s="220"/>
      <c r="C46" s="220"/>
      <c r="D46" s="220"/>
      <c r="E46" s="220"/>
      <c r="F46" s="220"/>
      <c r="G46" s="32"/>
      <c r="H46" s="33"/>
      <c r="I46" s="33"/>
      <c r="J46" s="33"/>
      <c r="K46" s="33"/>
      <c r="L46" s="33"/>
      <c r="M46" s="33"/>
      <c r="N46" s="33"/>
      <c r="O46" s="34"/>
      <c r="P46" s="34"/>
    </row>
    <row r="47" spans="1:16" ht="24.6">
      <c r="A47" s="1" t="s">
        <v>0</v>
      </c>
      <c r="B47" s="21" t="s">
        <v>39</v>
      </c>
      <c r="C47" s="16"/>
      <c r="D47" s="16"/>
      <c r="E47" s="16"/>
      <c r="F47" s="16"/>
      <c r="G47" s="5" t="s">
        <v>66</v>
      </c>
      <c r="H47" s="22">
        <v>75597600</v>
      </c>
      <c r="I47" s="22">
        <v>74367200</v>
      </c>
      <c r="J47" s="22">
        <v>73767400</v>
      </c>
      <c r="K47" s="22">
        <v>78573200</v>
      </c>
      <c r="L47" s="22">
        <v>76729200</v>
      </c>
      <c r="M47" s="22">
        <v>75223600</v>
      </c>
      <c r="N47" s="22">
        <v>68277360</v>
      </c>
      <c r="O47" s="4" t="s">
        <v>82</v>
      </c>
      <c r="P47" s="44"/>
    </row>
    <row r="48" spans="1:16" ht="24.6">
      <c r="A48" s="1" t="s">
        <v>0</v>
      </c>
      <c r="B48" s="23" t="s">
        <v>40</v>
      </c>
      <c r="C48" s="19"/>
      <c r="D48" s="19"/>
      <c r="E48" s="19"/>
      <c r="F48" s="19"/>
      <c r="G48" s="2" t="s">
        <v>66</v>
      </c>
      <c r="H48" s="24">
        <v>3196600</v>
      </c>
      <c r="I48" s="24">
        <v>4695960</v>
      </c>
      <c r="J48" s="24">
        <v>5899520</v>
      </c>
      <c r="K48" s="24">
        <v>6048960</v>
      </c>
      <c r="L48" s="24">
        <v>5738720</v>
      </c>
      <c r="M48" s="24">
        <v>5301833</v>
      </c>
      <c r="N48" s="24">
        <v>4727360</v>
      </c>
      <c r="O48" s="4" t="s">
        <v>82</v>
      </c>
      <c r="P48" s="44"/>
    </row>
    <row r="49" spans="1:16" ht="24.6">
      <c r="A49" s="1" t="s">
        <v>0</v>
      </c>
      <c r="B49" s="23" t="s">
        <v>41</v>
      </c>
      <c r="C49" s="19"/>
      <c r="D49" s="19"/>
      <c r="E49" s="19"/>
      <c r="F49" s="19"/>
      <c r="G49" s="2" t="s">
        <v>66</v>
      </c>
      <c r="H49" s="24" t="s">
        <v>0</v>
      </c>
      <c r="I49" s="24" t="s">
        <v>0</v>
      </c>
      <c r="J49" s="24"/>
      <c r="K49" s="24"/>
      <c r="L49" s="24"/>
      <c r="M49" s="24"/>
      <c r="N49" s="24"/>
      <c r="O49" s="4" t="s">
        <v>82</v>
      </c>
      <c r="P49" s="44"/>
    </row>
    <row r="50" spans="1:16" ht="24.6">
      <c r="A50" s="1" t="s">
        <v>0</v>
      </c>
      <c r="B50" s="23" t="s">
        <v>42</v>
      </c>
      <c r="C50" s="19"/>
      <c r="D50" s="19"/>
      <c r="E50" s="19"/>
      <c r="F50" s="19"/>
      <c r="G50" s="2" t="s">
        <v>66</v>
      </c>
      <c r="H50" s="24" t="s">
        <v>0</v>
      </c>
      <c r="I50" s="24" t="s">
        <v>0</v>
      </c>
      <c r="J50" s="24"/>
      <c r="K50" s="24"/>
      <c r="L50" s="24"/>
      <c r="M50" s="24"/>
      <c r="N50" s="24"/>
      <c r="O50" s="4" t="s">
        <v>82</v>
      </c>
      <c r="P50" s="44"/>
    </row>
    <row r="51" spans="1:16" ht="24.6">
      <c r="A51" s="1" t="s">
        <v>0</v>
      </c>
      <c r="B51" s="23" t="s">
        <v>43</v>
      </c>
      <c r="C51" s="19"/>
      <c r="D51" s="19"/>
      <c r="E51" s="19"/>
      <c r="F51" s="19"/>
      <c r="G51" s="2" t="s">
        <v>66</v>
      </c>
      <c r="H51" s="24" t="s">
        <v>0</v>
      </c>
      <c r="I51" s="24" t="s">
        <v>0</v>
      </c>
      <c r="J51" s="24"/>
      <c r="K51" s="24"/>
      <c r="L51" s="24"/>
      <c r="M51" s="24"/>
      <c r="N51" s="24"/>
      <c r="O51" s="4" t="s">
        <v>82</v>
      </c>
      <c r="P51" s="44"/>
    </row>
    <row r="52" spans="1:16" ht="47.25" customHeight="1" thickBot="1">
      <c r="A52" s="1" t="s">
        <v>0</v>
      </c>
      <c r="B52" s="214" t="s">
        <v>67</v>
      </c>
      <c r="C52" s="215"/>
      <c r="D52" s="215"/>
      <c r="E52" s="215"/>
      <c r="F52" s="216"/>
      <c r="G52" s="2" t="s">
        <v>66</v>
      </c>
      <c r="H52" s="3"/>
      <c r="I52" s="3"/>
      <c r="J52" s="155"/>
      <c r="K52" s="155"/>
      <c r="L52" s="155"/>
      <c r="M52" s="155"/>
      <c r="N52" s="155"/>
      <c r="O52" s="223" t="s">
        <v>71</v>
      </c>
      <c r="P52" s="44"/>
    </row>
    <row r="53" spans="1:16" s="59" customFormat="1" ht="24.6">
      <c r="A53" s="53" t="s">
        <v>0</v>
      </c>
      <c r="B53" s="54" t="s">
        <v>98</v>
      </c>
      <c r="C53" s="55"/>
      <c r="D53" s="55"/>
      <c r="E53" s="55"/>
      <c r="F53" s="55" t="s">
        <v>99</v>
      </c>
      <c r="G53" s="56" t="s">
        <v>66</v>
      </c>
      <c r="H53" s="57">
        <f>36*5.23*0.7*365</f>
        <v>48105.540000000008</v>
      </c>
      <c r="I53" s="57">
        <f>36*5.23*0.7*365</f>
        <v>48105.540000000008</v>
      </c>
      <c r="J53" s="57">
        <f>36*5.23*0.7*365</f>
        <v>48105.540000000008</v>
      </c>
      <c r="K53" s="57">
        <f t="shared" ref="K53:N53" si="1">36*5.23*0.7*365</f>
        <v>48105.540000000008</v>
      </c>
      <c r="L53" s="57">
        <f t="shared" si="1"/>
        <v>48105.540000000008</v>
      </c>
      <c r="M53" s="57">
        <f t="shared" si="1"/>
        <v>48105.540000000008</v>
      </c>
      <c r="N53" s="57">
        <f t="shared" si="1"/>
        <v>48105.540000000008</v>
      </c>
      <c r="O53" s="224"/>
      <c r="P53" s="58"/>
    </row>
    <row r="54" spans="1:16" s="59" customFormat="1" ht="24.6">
      <c r="A54" s="53" t="s">
        <v>0</v>
      </c>
      <c r="B54" s="54" t="s">
        <v>100</v>
      </c>
      <c r="C54" s="55"/>
      <c r="D54" s="55"/>
      <c r="E54" s="55"/>
      <c r="F54" s="55" t="s">
        <v>101</v>
      </c>
      <c r="G54" s="56" t="s">
        <v>66</v>
      </c>
      <c r="H54" s="57">
        <f>29*5.23*0.7*365</f>
        <v>38751.685000000005</v>
      </c>
      <c r="I54" s="57">
        <f>29*5.23*0.7*365</f>
        <v>38751.685000000005</v>
      </c>
      <c r="J54" s="57">
        <f>29*5.23*0.7*365</f>
        <v>38751.685000000005</v>
      </c>
      <c r="K54" s="57">
        <f t="shared" ref="K54:N54" si="2">29*5.23*0.7*365</f>
        <v>38751.685000000005</v>
      </c>
      <c r="L54" s="57">
        <f t="shared" si="2"/>
        <v>38751.685000000005</v>
      </c>
      <c r="M54" s="57">
        <f t="shared" si="2"/>
        <v>38751.685000000005</v>
      </c>
      <c r="N54" s="57">
        <f t="shared" si="2"/>
        <v>38751.685000000005</v>
      </c>
      <c r="O54" s="224"/>
      <c r="P54" s="58"/>
    </row>
    <row r="55" spans="1:16" s="59" customFormat="1" ht="24.6">
      <c r="A55" s="60" t="s">
        <v>0</v>
      </c>
      <c r="B55" s="54" t="s">
        <v>102</v>
      </c>
      <c r="C55" s="55"/>
      <c r="D55" s="55"/>
      <c r="E55" s="55"/>
      <c r="F55" s="160" t="s">
        <v>241</v>
      </c>
      <c r="G55" s="56" t="s">
        <v>66</v>
      </c>
      <c r="H55" s="57">
        <f>62*5.23*0.7*365</f>
        <v>82848.430000000008</v>
      </c>
      <c r="I55" s="57">
        <f>62*5.23*0.7*365</f>
        <v>82848.430000000008</v>
      </c>
      <c r="J55" s="57">
        <f>80*5.23*0.7*365</f>
        <v>106901.2</v>
      </c>
      <c r="K55" s="57">
        <f t="shared" ref="K55:N55" si="3">80*5.23*0.7*365</f>
        <v>106901.2</v>
      </c>
      <c r="L55" s="57">
        <f t="shared" si="3"/>
        <v>106901.2</v>
      </c>
      <c r="M55" s="57">
        <f t="shared" si="3"/>
        <v>106901.2</v>
      </c>
      <c r="N55" s="57">
        <f t="shared" si="3"/>
        <v>106901.2</v>
      </c>
      <c r="O55" s="225"/>
      <c r="P55" s="58"/>
    </row>
    <row r="56" spans="1:16" s="59" customFormat="1" ht="24.6">
      <c r="A56" s="60" t="s">
        <v>0</v>
      </c>
      <c r="B56" s="54" t="s">
        <v>242</v>
      </c>
      <c r="C56" s="55"/>
      <c r="D56" s="55"/>
      <c r="E56" s="55"/>
      <c r="F56" s="160" t="s">
        <v>243</v>
      </c>
      <c r="G56" s="56" t="s">
        <v>66</v>
      </c>
      <c r="H56" s="159"/>
      <c r="I56" s="159"/>
      <c r="J56" s="57">
        <f>121.6*5.23*0.7*365</f>
        <v>162489.82400000002</v>
      </c>
      <c r="K56" s="57">
        <f t="shared" ref="K56:N56" si="4">121.6*5.23*0.7*365</f>
        <v>162489.82400000002</v>
      </c>
      <c r="L56" s="57">
        <f t="shared" si="4"/>
        <v>162489.82400000002</v>
      </c>
      <c r="M56" s="57">
        <f t="shared" si="4"/>
        <v>162489.82400000002</v>
      </c>
      <c r="N56" s="57">
        <f t="shared" si="4"/>
        <v>162489.82400000002</v>
      </c>
      <c r="O56" s="144"/>
      <c r="P56" s="158"/>
    </row>
    <row r="57" spans="1:16" s="59" customFormat="1" ht="25.2" thickBot="1">
      <c r="A57" s="60" t="s">
        <v>0</v>
      </c>
      <c r="B57" s="157" t="s">
        <v>244</v>
      </c>
      <c r="C57" s="157"/>
      <c r="D57" s="157"/>
      <c r="E57" s="157"/>
      <c r="F57" s="161" t="s">
        <v>245</v>
      </c>
      <c r="G57" s="164" t="s">
        <v>66</v>
      </c>
      <c r="H57" s="162"/>
      <c r="I57" s="162"/>
      <c r="J57" s="167">
        <f>40*5.23*0.7*365</f>
        <v>53450.6</v>
      </c>
      <c r="K57" s="167">
        <f t="shared" ref="K57:N57" si="5">40*5.23*0.7*365</f>
        <v>53450.6</v>
      </c>
      <c r="L57" s="167">
        <f t="shared" si="5"/>
        <v>53450.6</v>
      </c>
      <c r="M57" s="167">
        <f t="shared" si="5"/>
        <v>53450.6</v>
      </c>
      <c r="N57" s="167">
        <f t="shared" si="5"/>
        <v>53450.6</v>
      </c>
      <c r="O57" s="163"/>
      <c r="P57" s="158"/>
    </row>
    <row r="58" spans="1:16" ht="25.2" thickBot="1">
      <c r="A58" s="212" t="s">
        <v>44</v>
      </c>
      <c r="B58" s="213"/>
      <c r="C58" s="213"/>
      <c r="D58" s="213"/>
      <c r="E58" s="213"/>
      <c r="F58" s="213"/>
      <c r="G58" s="32"/>
      <c r="H58" s="33"/>
      <c r="I58" s="33"/>
      <c r="J58" s="33"/>
      <c r="K58" s="33"/>
      <c r="L58" s="33"/>
      <c r="M58" s="33"/>
      <c r="N58" s="33"/>
      <c r="O58" s="34"/>
      <c r="P58" s="34"/>
    </row>
    <row r="59" spans="1:16" ht="24.6">
      <c r="A59" s="1" t="s">
        <v>0</v>
      </c>
      <c r="B59" s="21" t="s">
        <v>48</v>
      </c>
      <c r="C59" s="16"/>
      <c r="D59" s="16"/>
      <c r="E59" s="16"/>
      <c r="F59" s="16"/>
      <c r="G59" s="5"/>
      <c r="H59" s="20"/>
      <c r="I59" s="20"/>
      <c r="J59" s="20"/>
      <c r="K59" s="20"/>
      <c r="L59" s="20"/>
      <c r="M59" s="20"/>
      <c r="N59" s="20"/>
      <c r="O59" s="17" t="s">
        <v>94</v>
      </c>
      <c r="P59" s="42"/>
    </row>
    <row r="60" spans="1:16" ht="24.6">
      <c r="A60" s="1"/>
      <c r="B60" s="35" t="s">
        <v>0</v>
      </c>
      <c r="C60" s="19" t="s">
        <v>45</v>
      </c>
      <c r="D60" s="19"/>
      <c r="E60" s="19"/>
      <c r="F60" s="19"/>
      <c r="G60" s="2" t="s">
        <v>91</v>
      </c>
      <c r="H60" s="24">
        <v>6</v>
      </c>
      <c r="I60" s="24">
        <v>6</v>
      </c>
      <c r="J60" s="24">
        <v>6</v>
      </c>
      <c r="K60" s="24">
        <v>6</v>
      </c>
      <c r="L60" s="22">
        <v>6</v>
      </c>
      <c r="M60" s="22">
        <v>6</v>
      </c>
      <c r="N60" s="22">
        <v>0</v>
      </c>
      <c r="O60" s="17" t="s">
        <v>94</v>
      </c>
      <c r="P60" s="42"/>
    </row>
    <row r="61" spans="1:16" ht="24.6">
      <c r="A61" s="1"/>
      <c r="B61" s="35" t="s">
        <v>0</v>
      </c>
      <c r="C61" s="19" t="s">
        <v>46</v>
      </c>
      <c r="D61" s="19"/>
      <c r="E61" s="19"/>
      <c r="F61" s="19"/>
      <c r="G61" s="2" t="s">
        <v>90</v>
      </c>
      <c r="H61" s="24">
        <v>67</v>
      </c>
      <c r="I61" s="24">
        <v>70</v>
      </c>
      <c r="J61" s="24">
        <v>70</v>
      </c>
      <c r="K61" s="24">
        <v>70</v>
      </c>
      <c r="L61" s="22">
        <v>70</v>
      </c>
      <c r="M61" s="22">
        <v>70</v>
      </c>
      <c r="N61" s="22">
        <v>0</v>
      </c>
      <c r="O61" s="17" t="s">
        <v>94</v>
      </c>
      <c r="P61" s="43" t="s">
        <v>92</v>
      </c>
    </row>
    <row r="62" spans="1:16" ht="24.6">
      <c r="A62" s="1"/>
      <c r="B62" s="35" t="s">
        <v>0</v>
      </c>
      <c r="C62" s="19" t="s">
        <v>47</v>
      </c>
      <c r="D62" s="19"/>
      <c r="E62" s="19"/>
      <c r="F62" s="19"/>
      <c r="G62" s="2" t="s">
        <v>89</v>
      </c>
      <c r="H62" s="24">
        <v>4</v>
      </c>
      <c r="I62" s="24">
        <v>4</v>
      </c>
      <c r="J62" s="24">
        <v>4</v>
      </c>
      <c r="K62" s="24">
        <v>4</v>
      </c>
      <c r="L62" s="22">
        <v>4</v>
      </c>
      <c r="M62" s="22">
        <v>4</v>
      </c>
      <c r="N62" s="22">
        <v>0</v>
      </c>
      <c r="O62" s="17" t="s">
        <v>94</v>
      </c>
      <c r="P62" s="42"/>
    </row>
    <row r="63" spans="1:16" ht="24.6">
      <c r="A63" s="1"/>
      <c r="B63" s="35" t="s">
        <v>0</v>
      </c>
      <c r="C63" s="19" t="s">
        <v>50</v>
      </c>
      <c r="D63" s="19"/>
      <c r="E63" s="19"/>
      <c r="F63" s="19"/>
      <c r="G63" s="2" t="s">
        <v>93</v>
      </c>
      <c r="H63" s="24">
        <v>251511</v>
      </c>
      <c r="I63" s="24">
        <v>278283</v>
      </c>
      <c r="J63" s="22"/>
      <c r="K63" s="22"/>
      <c r="L63" s="22"/>
      <c r="M63" s="22"/>
      <c r="N63" s="22"/>
      <c r="O63" s="17" t="s">
        <v>94</v>
      </c>
      <c r="P63" s="42"/>
    </row>
    <row r="64" spans="1:16" ht="24.6">
      <c r="A64" s="1" t="s">
        <v>0</v>
      </c>
      <c r="B64" s="23" t="s">
        <v>49</v>
      </c>
      <c r="C64" s="19"/>
      <c r="D64" s="19"/>
      <c r="E64" s="19"/>
      <c r="F64" s="19"/>
      <c r="G64" s="2"/>
      <c r="H64" s="24"/>
      <c r="I64" s="24"/>
      <c r="J64" s="24"/>
      <c r="K64" s="24"/>
      <c r="L64" s="24"/>
      <c r="M64" s="24"/>
      <c r="N64" s="24"/>
      <c r="O64" s="4" t="s">
        <v>81</v>
      </c>
      <c r="P64" s="45"/>
    </row>
    <row r="65" spans="1:16" ht="24.6">
      <c r="A65" s="1"/>
      <c r="B65" s="35" t="s">
        <v>0</v>
      </c>
      <c r="C65" s="19" t="s">
        <v>45</v>
      </c>
      <c r="D65" s="19"/>
      <c r="E65" s="19"/>
      <c r="F65" s="19"/>
      <c r="G65" s="2" t="s">
        <v>91</v>
      </c>
      <c r="H65" s="24">
        <v>60</v>
      </c>
      <c r="I65" s="24">
        <v>60</v>
      </c>
      <c r="J65" s="24">
        <v>60</v>
      </c>
      <c r="K65" s="24">
        <v>60</v>
      </c>
      <c r="L65" s="24">
        <v>60</v>
      </c>
      <c r="M65" s="24">
        <v>65</v>
      </c>
      <c r="N65" s="24">
        <v>40</v>
      </c>
      <c r="O65" s="4" t="s">
        <v>81</v>
      </c>
      <c r="P65" s="44"/>
    </row>
    <row r="66" spans="1:16" ht="73.8">
      <c r="A66" s="1"/>
      <c r="B66" s="35" t="s">
        <v>0</v>
      </c>
      <c r="C66" s="19" t="s">
        <v>46</v>
      </c>
      <c r="D66" s="19"/>
      <c r="E66" s="19"/>
      <c r="F66" s="19"/>
      <c r="G66" s="2" t="s">
        <v>90</v>
      </c>
      <c r="H66" s="24">
        <v>762</v>
      </c>
      <c r="I66" s="24">
        <v>762</v>
      </c>
      <c r="J66" s="24">
        <v>762</v>
      </c>
      <c r="K66" s="24">
        <v>762</v>
      </c>
      <c r="L66" s="24">
        <v>762</v>
      </c>
      <c r="M66" s="24">
        <v>900</v>
      </c>
      <c r="N66" s="24">
        <v>1200</v>
      </c>
      <c r="O66" s="4" t="s">
        <v>81</v>
      </c>
      <c r="P66" s="45" t="s">
        <v>96</v>
      </c>
    </row>
    <row r="67" spans="1:16" ht="49.2">
      <c r="A67" s="1"/>
      <c r="B67" s="35" t="s">
        <v>0</v>
      </c>
      <c r="C67" s="19" t="s">
        <v>47</v>
      </c>
      <c r="D67" s="19"/>
      <c r="E67" s="19"/>
      <c r="F67" s="19"/>
      <c r="G67" s="2" t="s">
        <v>89</v>
      </c>
      <c r="H67" s="24"/>
      <c r="I67" s="24"/>
      <c r="J67" s="24"/>
      <c r="K67" s="24"/>
      <c r="L67" s="24"/>
      <c r="M67" s="24"/>
      <c r="N67" s="24">
        <v>5</v>
      </c>
      <c r="O67" s="4" t="s">
        <v>81</v>
      </c>
      <c r="P67" s="45" t="s">
        <v>88</v>
      </c>
    </row>
    <row r="68" spans="1:16" ht="24.6">
      <c r="A68" s="1" t="s">
        <v>0</v>
      </c>
      <c r="B68" s="23" t="s">
        <v>52</v>
      </c>
      <c r="C68" s="19"/>
      <c r="D68" s="19"/>
      <c r="E68" s="19"/>
      <c r="F68" s="19"/>
      <c r="G68" s="2"/>
      <c r="H68" s="24"/>
      <c r="I68" s="24"/>
      <c r="J68" s="24"/>
      <c r="K68" s="24"/>
      <c r="L68" s="24"/>
      <c r="M68" s="24"/>
      <c r="N68" s="24"/>
      <c r="O68" s="4" t="s">
        <v>81</v>
      </c>
      <c r="P68" s="44"/>
    </row>
    <row r="69" spans="1:16" ht="24.6">
      <c r="A69" s="1"/>
      <c r="B69" s="35" t="s">
        <v>0</v>
      </c>
      <c r="C69" s="19" t="s">
        <v>45</v>
      </c>
      <c r="D69" s="19"/>
      <c r="E69" s="19"/>
      <c r="F69" s="19"/>
      <c r="G69" s="2" t="s">
        <v>91</v>
      </c>
      <c r="H69" s="24">
        <v>2</v>
      </c>
      <c r="I69" s="24">
        <v>2</v>
      </c>
      <c r="J69" s="24"/>
      <c r="K69" s="24"/>
      <c r="L69" s="24"/>
      <c r="M69" s="24"/>
      <c r="N69" s="24"/>
      <c r="O69" s="4" t="s">
        <v>81</v>
      </c>
      <c r="P69" s="44"/>
    </row>
    <row r="70" spans="1:16" ht="24.6">
      <c r="A70" s="1"/>
      <c r="B70" s="35" t="s">
        <v>0</v>
      </c>
      <c r="C70" s="19" t="s">
        <v>46</v>
      </c>
      <c r="D70" s="19"/>
      <c r="E70" s="19"/>
      <c r="F70" s="19"/>
      <c r="G70" s="2" t="s">
        <v>90</v>
      </c>
      <c r="H70" s="24">
        <v>6</v>
      </c>
      <c r="I70" s="24">
        <v>6</v>
      </c>
      <c r="J70" s="24"/>
      <c r="K70" s="24"/>
      <c r="L70" s="24"/>
      <c r="M70" s="24"/>
      <c r="N70" s="24"/>
      <c r="O70" s="4" t="s">
        <v>81</v>
      </c>
      <c r="P70" s="44"/>
    </row>
    <row r="71" spans="1:16" ht="24.6">
      <c r="A71" s="1"/>
      <c r="B71" s="35" t="s">
        <v>0</v>
      </c>
      <c r="C71" s="19" t="s">
        <v>47</v>
      </c>
      <c r="D71" s="19"/>
      <c r="E71" s="19"/>
      <c r="F71" s="19"/>
      <c r="G71" s="2" t="s">
        <v>89</v>
      </c>
      <c r="H71" s="24">
        <v>20</v>
      </c>
      <c r="I71" s="24">
        <v>20</v>
      </c>
      <c r="J71" s="24"/>
      <c r="K71" s="24"/>
      <c r="L71" s="24"/>
      <c r="M71" s="24"/>
      <c r="N71" s="24"/>
      <c r="O71" s="4" t="s">
        <v>81</v>
      </c>
      <c r="P71" s="44"/>
    </row>
    <row r="72" spans="1:16" ht="24.6">
      <c r="A72" s="1"/>
      <c r="B72" s="35" t="s">
        <v>0</v>
      </c>
      <c r="C72" s="19" t="s">
        <v>51</v>
      </c>
      <c r="D72" s="19"/>
      <c r="E72" s="19"/>
      <c r="F72" s="19"/>
      <c r="G72" s="2" t="s">
        <v>93</v>
      </c>
      <c r="H72" s="24" t="s">
        <v>95</v>
      </c>
      <c r="I72" s="24" t="s">
        <v>95</v>
      </c>
      <c r="J72" s="24"/>
      <c r="K72" s="24"/>
      <c r="L72" s="24"/>
      <c r="M72" s="24"/>
      <c r="N72" s="24"/>
      <c r="O72" s="4" t="s">
        <v>81</v>
      </c>
      <c r="P72" s="44"/>
    </row>
    <row r="73" spans="1:16" ht="24.6">
      <c r="A73" s="1" t="s">
        <v>0</v>
      </c>
      <c r="B73" s="23" t="s">
        <v>53</v>
      </c>
      <c r="C73" s="19"/>
      <c r="D73" s="19"/>
      <c r="E73" s="19"/>
      <c r="F73" s="19"/>
      <c r="G73" s="2"/>
      <c r="H73" s="24"/>
      <c r="I73" s="24"/>
      <c r="J73" s="24"/>
      <c r="K73" s="24"/>
      <c r="L73" s="24"/>
      <c r="M73" s="24"/>
      <c r="N73" s="24"/>
      <c r="O73" s="4" t="s">
        <v>81</v>
      </c>
      <c r="P73" s="44"/>
    </row>
    <row r="74" spans="1:16" ht="24.6">
      <c r="A74" s="1"/>
      <c r="B74" s="35" t="s">
        <v>0</v>
      </c>
      <c r="C74" s="19" t="s">
        <v>45</v>
      </c>
      <c r="D74" s="19"/>
      <c r="E74" s="19"/>
      <c r="F74" s="19"/>
      <c r="G74" s="2" t="s">
        <v>91</v>
      </c>
      <c r="H74" s="24">
        <v>13</v>
      </c>
      <c r="I74" s="24">
        <v>13</v>
      </c>
      <c r="J74" s="24"/>
      <c r="K74" s="24"/>
      <c r="L74" s="24"/>
      <c r="M74" s="24"/>
      <c r="N74" s="24"/>
      <c r="O74" s="4" t="s">
        <v>81</v>
      </c>
      <c r="P74" s="44"/>
    </row>
    <row r="75" spans="1:16" ht="24.6">
      <c r="A75" s="1"/>
      <c r="B75" s="35" t="s">
        <v>0</v>
      </c>
      <c r="C75" s="19" t="s">
        <v>46</v>
      </c>
      <c r="D75" s="19"/>
      <c r="E75" s="19"/>
      <c r="F75" s="19"/>
      <c r="G75" s="2" t="s">
        <v>90</v>
      </c>
      <c r="H75" s="24">
        <v>130</v>
      </c>
      <c r="I75" s="24">
        <v>130</v>
      </c>
      <c r="J75" s="24"/>
      <c r="K75" s="24"/>
      <c r="L75" s="24"/>
      <c r="M75" s="24"/>
      <c r="N75" s="24"/>
      <c r="O75" s="4" t="s">
        <v>81</v>
      </c>
      <c r="P75" s="45"/>
    </row>
    <row r="76" spans="1:16" ht="24.6">
      <c r="A76" s="1"/>
      <c r="B76" s="35" t="s">
        <v>0</v>
      </c>
      <c r="C76" s="26" t="s">
        <v>47</v>
      </c>
      <c r="D76" s="26"/>
      <c r="E76" s="26"/>
      <c r="F76" s="26"/>
      <c r="G76" s="2" t="s">
        <v>89</v>
      </c>
      <c r="H76" s="24" t="s">
        <v>95</v>
      </c>
      <c r="I76" s="24" t="s">
        <v>95</v>
      </c>
      <c r="J76" s="24"/>
      <c r="K76" s="24"/>
      <c r="L76" s="24"/>
      <c r="M76" s="24"/>
      <c r="N76" s="24"/>
      <c r="O76" s="4" t="s">
        <v>81</v>
      </c>
      <c r="P76" s="44"/>
    </row>
    <row r="77" spans="1:16" ht="24.6">
      <c r="A77" s="1" t="s">
        <v>0</v>
      </c>
      <c r="B77" s="23" t="s">
        <v>76</v>
      </c>
      <c r="C77" s="19"/>
      <c r="D77" s="19"/>
      <c r="E77" s="19"/>
      <c r="F77" s="19"/>
      <c r="G77" s="2"/>
      <c r="H77" s="24"/>
      <c r="I77" s="24"/>
      <c r="J77" s="24"/>
      <c r="K77" s="24"/>
      <c r="L77" s="24"/>
      <c r="M77" s="24"/>
      <c r="N77" s="24"/>
      <c r="O77" s="4" t="s">
        <v>81</v>
      </c>
      <c r="P77" s="44"/>
    </row>
    <row r="78" spans="1:16" ht="24.6">
      <c r="A78" s="1"/>
      <c r="B78" s="35" t="s">
        <v>0</v>
      </c>
      <c r="C78" s="19" t="s">
        <v>45</v>
      </c>
      <c r="D78" s="19"/>
      <c r="E78" s="19"/>
      <c r="F78" s="19"/>
      <c r="G78" s="2" t="s">
        <v>91</v>
      </c>
      <c r="H78" s="24" t="s">
        <v>0</v>
      </c>
      <c r="I78" s="24">
        <v>8</v>
      </c>
      <c r="J78" s="24"/>
      <c r="K78" s="24"/>
      <c r="L78" s="24"/>
      <c r="M78" s="24"/>
      <c r="N78" s="24"/>
      <c r="O78" s="4" t="s">
        <v>81</v>
      </c>
      <c r="P78" s="44"/>
    </row>
    <row r="79" spans="1:16" ht="98.4">
      <c r="A79" s="1"/>
      <c r="B79" s="35" t="s">
        <v>0</v>
      </c>
      <c r="C79" s="19" t="s">
        <v>46</v>
      </c>
      <c r="D79" s="19"/>
      <c r="E79" s="19"/>
      <c r="F79" s="19"/>
      <c r="G79" s="2" t="s">
        <v>90</v>
      </c>
      <c r="H79" s="24" t="s">
        <v>0</v>
      </c>
      <c r="I79" s="24">
        <f>84+285</f>
        <v>369</v>
      </c>
      <c r="J79" s="24"/>
      <c r="K79" s="24"/>
      <c r="L79" s="24"/>
      <c r="M79" s="24"/>
      <c r="N79" s="24"/>
      <c r="O79" s="4" t="s">
        <v>81</v>
      </c>
      <c r="P79" s="45" t="s">
        <v>97</v>
      </c>
    </row>
    <row r="80" spans="1:16" ht="25.2" thickBot="1">
      <c r="A80" s="1"/>
      <c r="B80" s="35" t="s">
        <v>0</v>
      </c>
      <c r="C80" s="26" t="s">
        <v>47</v>
      </c>
      <c r="D80" s="26"/>
      <c r="E80" s="26"/>
      <c r="F80" s="26"/>
      <c r="G80" s="2" t="s">
        <v>89</v>
      </c>
      <c r="H80" s="38" t="s">
        <v>0</v>
      </c>
      <c r="I80" s="24" t="s">
        <v>95</v>
      </c>
      <c r="J80" s="24"/>
      <c r="K80" s="24"/>
      <c r="L80" s="24"/>
      <c r="M80" s="24"/>
      <c r="N80" s="24"/>
      <c r="O80" s="4" t="s">
        <v>81</v>
      </c>
      <c r="P80" s="44"/>
    </row>
    <row r="81" spans="1:16" ht="25.2" hidden="1" thickBot="1">
      <c r="A81" s="212" t="s">
        <v>54</v>
      </c>
      <c r="B81" s="213"/>
      <c r="C81" s="213"/>
      <c r="D81" s="213"/>
      <c r="E81" s="213"/>
      <c r="F81" s="213"/>
      <c r="G81" s="28"/>
      <c r="H81" s="29"/>
      <c r="I81" s="29"/>
      <c r="J81" s="29"/>
      <c r="K81" s="29"/>
      <c r="L81" s="29"/>
      <c r="M81" s="29"/>
      <c r="N81" s="29"/>
      <c r="O81" s="30"/>
      <c r="P81" s="30"/>
    </row>
    <row r="82" spans="1:16" ht="24.6" hidden="1">
      <c r="A82" s="1" t="s">
        <v>0</v>
      </c>
      <c r="B82" s="21" t="s">
        <v>55</v>
      </c>
      <c r="C82" s="16"/>
      <c r="D82" s="16"/>
      <c r="E82" s="16"/>
      <c r="F82" s="16"/>
      <c r="G82" s="2" t="s">
        <v>65</v>
      </c>
      <c r="H82" s="22">
        <v>1606389</v>
      </c>
      <c r="I82" s="22">
        <v>1446588</v>
      </c>
      <c r="J82" s="22">
        <v>1612193</v>
      </c>
      <c r="K82" s="22">
        <v>1760642</v>
      </c>
      <c r="L82" s="22"/>
      <c r="M82" s="22"/>
      <c r="N82" s="22"/>
      <c r="O82" s="17" t="s">
        <v>82</v>
      </c>
      <c r="P82" s="42"/>
    </row>
    <row r="83" spans="1:16" ht="24.6" hidden="1">
      <c r="A83" s="1" t="s">
        <v>0</v>
      </c>
      <c r="B83" s="23" t="s">
        <v>56</v>
      </c>
      <c r="C83" s="19"/>
      <c r="D83" s="19"/>
      <c r="E83" s="19"/>
      <c r="F83" s="19"/>
      <c r="G83" s="2" t="s">
        <v>65</v>
      </c>
      <c r="H83" s="3">
        <v>1251503.25</v>
      </c>
      <c r="I83" s="3">
        <v>1039244.25</v>
      </c>
      <c r="J83" s="20">
        <v>254895</v>
      </c>
      <c r="K83" s="20">
        <v>246356.25</v>
      </c>
      <c r="L83" s="20"/>
      <c r="M83" s="20"/>
      <c r="N83" s="20"/>
      <c r="O83" s="17" t="s">
        <v>82</v>
      </c>
      <c r="P83" s="42"/>
    </row>
    <row r="84" spans="1:16" ht="25.2" hidden="1" thickBot="1">
      <c r="A84" s="8" t="s">
        <v>0</v>
      </c>
      <c r="B84" s="36" t="s">
        <v>57</v>
      </c>
      <c r="C84" s="37"/>
      <c r="D84" s="37"/>
      <c r="E84" s="37"/>
      <c r="F84" s="37"/>
      <c r="G84" s="41" t="s">
        <v>65</v>
      </c>
      <c r="H84" s="38"/>
      <c r="I84" s="38"/>
      <c r="J84" s="38"/>
      <c r="K84" s="38"/>
      <c r="L84" s="38"/>
      <c r="M84" s="38"/>
      <c r="N84" s="38"/>
      <c r="O84" s="9" t="s">
        <v>82</v>
      </c>
      <c r="P84" s="46"/>
    </row>
  </sheetData>
  <autoFilter ref="A4:O84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12">
    <mergeCell ref="A1:P1"/>
    <mergeCell ref="A58:F58"/>
    <mergeCell ref="A81:F81"/>
    <mergeCell ref="A12:F12"/>
    <mergeCell ref="A20:F20"/>
    <mergeCell ref="A31:F31"/>
    <mergeCell ref="B52:F52"/>
    <mergeCell ref="B32:F32"/>
    <mergeCell ref="A46:F46"/>
    <mergeCell ref="A3:F3"/>
    <mergeCell ref="A4:F4"/>
    <mergeCell ref="O52:O55"/>
  </mergeCells>
  <pageMargins left="0.39370078740157483" right="0.31496062992125984" top="0.39370078740157483" bottom="0.39370078740157483" header="0.31496062992125984" footer="0.31496062992125984"/>
  <pageSetup paperSize="9" scale="54" fitToHeight="0" orientation="landscape" horizontalDpi="4294967293" r:id="rId1"/>
  <headerFooter>
    <oddFooter>&amp;R&amp;P</oddFooter>
  </headerFooter>
  <rowBreaks count="3" manualBreakCount="3">
    <brk id="19" max="16383" man="1"/>
    <brk id="45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34"/>
  <sheetViews>
    <sheetView tabSelected="1" topLeftCell="A3" zoomScale="80" zoomScaleNormal="80" workbookViewId="0">
      <selection activeCell="V17" sqref="V17"/>
    </sheetView>
  </sheetViews>
  <sheetFormatPr defaultColWidth="9.109375" defaultRowHeight="26.4"/>
  <cols>
    <col min="1" max="1" width="26.88671875" style="121" customWidth="1"/>
    <col min="2" max="2" width="16.88671875" style="121" hidden="1" customWidth="1"/>
    <col min="3" max="3" width="13.33203125" style="121" hidden="1" customWidth="1"/>
    <col min="4" max="4" width="13.33203125" style="141" hidden="1" customWidth="1"/>
    <col min="5" max="5" width="13.109375" style="122" hidden="1" customWidth="1"/>
    <col min="6" max="6" width="13.33203125" style="122" hidden="1" customWidth="1"/>
    <col min="7" max="7" width="13.33203125" style="122" customWidth="1"/>
    <col min="8" max="8" width="13.33203125" style="121" customWidth="1"/>
    <col min="9" max="10" width="13.109375" style="121" customWidth="1"/>
    <col min="11" max="11" width="11.44140625" style="121" bestFit="1" customWidth="1"/>
    <col min="12" max="12" width="9.6640625" style="148" customWidth="1"/>
    <col min="13" max="13" width="11.44140625" style="148" bestFit="1" customWidth="1"/>
    <col min="14" max="14" width="12.33203125" style="148" customWidth="1"/>
    <col min="15" max="15" width="11.44140625" style="148" bestFit="1" customWidth="1"/>
    <col min="16" max="16" width="9.109375" style="148"/>
    <col min="17" max="17" width="11.44140625" style="148" bestFit="1" customWidth="1"/>
    <col min="18" max="28" width="9.109375" style="148"/>
    <col min="29" max="16384" width="9.109375" style="121"/>
  </cols>
  <sheetData>
    <row r="2" spans="1:18">
      <c r="A2" s="227" t="s">
        <v>201</v>
      </c>
      <c r="B2" s="150"/>
      <c r="C2" s="150"/>
      <c r="D2" s="137"/>
      <c r="E2" s="231" t="s">
        <v>207</v>
      </c>
      <c r="F2" s="231"/>
      <c r="G2" s="231"/>
      <c r="H2" s="231"/>
      <c r="I2" s="231"/>
      <c r="J2" s="231"/>
      <c r="K2" s="196"/>
      <c r="L2" s="196"/>
      <c r="M2" s="196"/>
      <c r="N2" s="196"/>
      <c r="O2" s="196"/>
      <c r="P2" s="196"/>
      <c r="Q2" s="196"/>
      <c r="R2" s="196"/>
    </row>
    <row r="3" spans="1:18">
      <c r="A3" s="227"/>
      <c r="B3" s="151">
        <v>2017</v>
      </c>
      <c r="C3" s="152"/>
      <c r="D3" s="138"/>
      <c r="E3" s="229">
        <v>2559</v>
      </c>
      <c r="F3" s="230"/>
      <c r="G3" s="226">
        <v>2560</v>
      </c>
      <c r="H3" s="226"/>
      <c r="I3" s="226">
        <v>2561</v>
      </c>
      <c r="J3" s="226"/>
      <c r="K3" s="226">
        <v>2562</v>
      </c>
      <c r="L3" s="226"/>
      <c r="M3" s="226">
        <v>2563</v>
      </c>
      <c r="N3" s="226"/>
      <c r="O3" s="226">
        <v>2564</v>
      </c>
      <c r="P3" s="226"/>
      <c r="Q3" s="226">
        <v>2565</v>
      </c>
      <c r="R3" s="226"/>
    </row>
    <row r="4" spans="1:18">
      <c r="A4" s="228"/>
      <c r="B4" s="151" t="s">
        <v>152</v>
      </c>
      <c r="C4" s="151" t="s">
        <v>211</v>
      </c>
      <c r="D4" s="154" t="s">
        <v>212</v>
      </c>
      <c r="E4" s="153" t="s">
        <v>209</v>
      </c>
      <c r="F4" s="153" t="s">
        <v>210</v>
      </c>
      <c r="G4" s="153" t="s">
        <v>209</v>
      </c>
      <c r="H4" s="153" t="s">
        <v>210</v>
      </c>
      <c r="I4" s="153" t="s">
        <v>209</v>
      </c>
      <c r="J4" s="153" t="s">
        <v>210</v>
      </c>
      <c r="K4" s="153" t="s">
        <v>209</v>
      </c>
      <c r="L4" s="153" t="s">
        <v>210</v>
      </c>
      <c r="M4" s="153" t="s">
        <v>209</v>
      </c>
      <c r="N4" s="153" t="s">
        <v>210</v>
      </c>
      <c r="O4" s="153" t="s">
        <v>209</v>
      </c>
      <c r="P4" s="153" t="s">
        <v>210</v>
      </c>
      <c r="Q4" s="153" t="s">
        <v>209</v>
      </c>
      <c r="R4" s="153" t="s">
        <v>210</v>
      </c>
    </row>
    <row r="5" spans="1:18">
      <c r="A5" s="123" t="s">
        <v>202</v>
      </c>
      <c r="B5" s="123"/>
      <c r="C5" s="123"/>
      <c r="D5" s="139">
        <f t="shared" ref="D5:D10" si="0">G5/1000</f>
        <v>3.4831572526087546</v>
      </c>
      <c r="E5" s="124">
        <f>SUM('Cal_GHG Emission '!H6,'Cal_GHG Emission '!H7)</f>
        <v>5997.3782459551094</v>
      </c>
      <c r="F5" s="127">
        <f t="shared" ref="F5:F10" si="1">E5/$E$19</f>
        <v>0.11641114480161241</v>
      </c>
      <c r="G5" s="124">
        <f>SUM('Cal_GHG Emission '!I6,'Cal_GHG Emission '!I7)</f>
        <v>3483.1572526087548</v>
      </c>
      <c r="H5" s="127">
        <f t="shared" ref="H5:H10" si="2">G5/$G$19</f>
        <v>6.0662856476056612E-2</v>
      </c>
      <c r="I5" s="124">
        <f>SUM('Cal_GHG Emission '!J6,'Cal_GHG Emission '!J7)</f>
        <v>3443.2433647146117</v>
      </c>
      <c r="J5" s="127">
        <f t="shared" ref="J5:J12" si="3">I5/$I$19</f>
        <v>6.8548113959542523E-2</v>
      </c>
      <c r="K5" s="124">
        <f>SUM('Cal_GHG Emission '!K6,'Cal_GHG Emission '!K7)</f>
        <v>3129.9406262494967</v>
      </c>
      <c r="L5" s="127">
        <f>K5/$K$19</f>
        <v>6.5161215945008302E-2</v>
      </c>
      <c r="M5" s="124">
        <f>SUM('Cal_GHG Emission '!L6,'Cal_GHG Emission '!L7)</f>
        <v>3194.5442084668693</v>
      </c>
      <c r="N5" s="127">
        <f>M5/$M$19</f>
        <v>6.8607925259385819E-2</v>
      </c>
      <c r="O5" s="124">
        <f>SUM('Cal_GHG Emission '!M6,'Cal_GHG Emission '!M7)</f>
        <v>3429.855220211999</v>
      </c>
      <c r="P5" s="127">
        <f>O5/$O$19</f>
        <v>7.5530346028630985E-2</v>
      </c>
      <c r="Q5" s="124">
        <f>SUM('Cal_GHG Emission '!N6,'Cal_GHG Emission '!N7)</f>
        <v>3257.2209590170773</v>
      </c>
      <c r="R5" s="127">
        <f>Q5/$Q$19</f>
        <v>7.6463172375185448E-2</v>
      </c>
    </row>
    <row r="6" spans="1:18">
      <c r="A6" s="123" t="s">
        <v>203</v>
      </c>
      <c r="B6" s="123"/>
      <c r="C6" s="123"/>
      <c r="D6" s="139">
        <f t="shared" si="0"/>
        <v>0.221950600416606</v>
      </c>
      <c r="E6" s="124">
        <f>SUM('Cal_GHG Emission '!H14,'Cal_GHG Emission '!H15)</f>
        <v>131.06934120819602</v>
      </c>
      <c r="F6" s="127">
        <f t="shared" si="1"/>
        <v>2.5441003439677758E-3</v>
      </c>
      <c r="G6" s="124">
        <f>SUM('Cal_GHG Emission '!I14,'Cal_GHG Emission '!I15)</f>
        <v>221.95060041660599</v>
      </c>
      <c r="H6" s="127">
        <f t="shared" si="2"/>
        <v>3.8655037488654893E-3</v>
      </c>
      <c r="I6" s="124">
        <f>SUM('Cal_GHG Emission '!J14:J20)</f>
        <v>213.65738277942404</v>
      </c>
      <c r="J6" s="127">
        <f t="shared" si="3"/>
        <v>4.2534927310534307E-3</v>
      </c>
      <c r="K6" s="124">
        <f>SUM('Cal_GHG Emission '!K14:K20)</f>
        <v>223.71290329832604</v>
      </c>
      <c r="L6" s="127">
        <f>K6/$K$19</f>
        <v>4.6574061754566251E-3</v>
      </c>
      <c r="M6" s="124">
        <f>SUM('Cal_GHG Emission '!L14:L20)</f>
        <v>144.76984909257203</v>
      </c>
      <c r="N6" s="127">
        <f>M6/$M$19</f>
        <v>3.1091631037788951E-3</v>
      </c>
      <c r="O6" s="124">
        <f>SUM('Cal_GHG Emission '!M14:M20)</f>
        <v>133.809738790648</v>
      </c>
      <c r="P6" s="127">
        <f>O6/$O$19</f>
        <v>2.946682942562711E-3</v>
      </c>
      <c r="Q6" s="124">
        <f>SUM('Cal_GHG Emission '!N14:N20)</f>
        <v>152.51452029790204</v>
      </c>
      <c r="R6" s="127">
        <f>Q6/$Q$19</f>
        <v>3.5802741668395552E-3</v>
      </c>
    </row>
    <row r="7" spans="1:18">
      <c r="A7" s="123" t="s">
        <v>204</v>
      </c>
      <c r="B7" s="123"/>
      <c r="C7" s="123"/>
      <c r="D7" s="139">
        <f t="shared" si="0"/>
        <v>0.79740285</v>
      </c>
      <c r="E7" s="124">
        <f>SUM('Cal_GHG Emission '!H41)</f>
        <v>647.98835400000007</v>
      </c>
      <c r="F7" s="127">
        <f t="shared" si="1"/>
        <v>1.257767361232015E-2</v>
      </c>
      <c r="G7" s="124">
        <f>SUM('Cal_GHG Emission '!I41)</f>
        <v>797.40284999999994</v>
      </c>
      <c r="H7" s="127">
        <f t="shared" si="2"/>
        <v>1.3887611478614444E-2</v>
      </c>
      <c r="I7" s="124">
        <f>SUM('Cal_GHG Emission '!J41)</f>
        <v>782.04097000000002</v>
      </c>
      <c r="J7" s="127">
        <f t="shared" si="3"/>
        <v>1.5568877321291041E-2</v>
      </c>
      <c r="K7" s="124">
        <f>SUM('Cal_GHG Emission '!K41)</f>
        <v>577.28651407999996</v>
      </c>
      <c r="L7" s="127">
        <f>K7/$K$19</f>
        <v>1.2018340185316159E-2</v>
      </c>
      <c r="M7" s="124">
        <f>SUM('Cal_GHG Emission '!L41)</f>
        <v>541.74316636000003</v>
      </c>
      <c r="N7" s="127">
        <f>M7/$M$19</f>
        <v>1.1634797405182119E-2</v>
      </c>
      <c r="O7" s="124">
        <f>SUM('Cal_GHG Emission '!M41)</f>
        <v>615.05975995999995</v>
      </c>
      <c r="P7" s="127">
        <f>O7/$O$19</f>
        <v>1.3544500719535935E-2</v>
      </c>
      <c r="Q7" s="124">
        <f>SUM('Cal_GHG Emission '!N41)</f>
        <v>674.80615388000001</v>
      </c>
      <c r="R7" s="127">
        <f>Q7/$Q$19</f>
        <v>1.5841055891870747E-2</v>
      </c>
    </row>
    <row r="8" spans="1:18">
      <c r="A8" s="123" t="s">
        <v>205</v>
      </c>
      <c r="B8" s="123"/>
      <c r="C8" s="123"/>
      <c r="D8" s="139">
        <f t="shared" si="0"/>
        <v>13.210855199999999</v>
      </c>
      <c r="E8" s="124">
        <f>'Cal_GHG Emission '!H42</f>
        <v>4241.9110637599997</v>
      </c>
      <c r="F8" s="127">
        <f t="shared" si="1"/>
        <v>8.2336931710447134E-2</v>
      </c>
      <c r="G8" s="124">
        <f>'Cal_GHG Emission '!I42</f>
        <v>13210.8552</v>
      </c>
      <c r="H8" s="127">
        <f t="shared" si="2"/>
        <v>0.23008097389899387</v>
      </c>
      <c r="I8" s="124">
        <f>'Cal_GHG Emission '!J44</f>
        <v>6058.5827839999993</v>
      </c>
      <c r="J8" s="127">
        <f t="shared" si="3"/>
        <v>0.12061431014922648</v>
      </c>
      <c r="K8" s="124">
        <f>'Cal_GHG Emission '!K44</f>
        <v>1231.5203999999999</v>
      </c>
      <c r="L8" s="127">
        <f>K8/$K$19</f>
        <v>2.5638622679319233E-2</v>
      </c>
      <c r="M8" s="124">
        <f>'Cal_GHG Emission '!L44</f>
        <v>652.64361399999996</v>
      </c>
      <c r="N8" s="127">
        <f>M8/$M$19</f>
        <v>1.4016561164391168E-2</v>
      </c>
      <c r="O8" s="124">
        <f>'Cal_GHG Emission '!M44</f>
        <v>803.59816000000001</v>
      </c>
      <c r="P8" s="127">
        <f>O8/$O$19</f>
        <v>1.7696387513703726E-2</v>
      </c>
      <c r="Q8" s="124">
        <f>'Cal_GHG Emission '!N44</f>
        <v>782.84890719999999</v>
      </c>
      <c r="R8" s="127">
        <f>Q8/$Q$19</f>
        <v>1.8377356552753694E-2</v>
      </c>
    </row>
    <row r="9" spans="1:18">
      <c r="A9" s="123" t="s">
        <v>206</v>
      </c>
      <c r="B9" s="123"/>
      <c r="C9" s="123"/>
      <c r="D9" s="139">
        <f t="shared" si="0"/>
        <v>2.2330657800000004</v>
      </c>
      <c r="E9" s="124">
        <f>'Cal_GHG Emission '!H40</f>
        <v>2434.2201300000002</v>
      </c>
      <c r="F9" s="127">
        <f t="shared" si="1"/>
        <v>4.7249037898109393E-2</v>
      </c>
      <c r="G9" s="124">
        <f>'Cal_GHG Emission '!I40</f>
        <v>2233.0657800000004</v>
      </c>
      <c r="H9" s="127">
        <f t="shared" si="2"/>
        <v>3.8891195283324013E-2</v>
      </c>
      <c r="I9" s="124">
        <f>'Cal_GHG Emission '!J40</f>
        <v>2027.6575680000005</v>
      </c>
      <c r="J9" s="127">
        <f t="shared" si="3"/>
        <v>4.0366621618020029E-2</v>
      </c>
      <c r="K9" s="124">
        <f>'Cal_GHG Emission '!K40</f>
        <v>2244.2819880000006</v>
      </c>
      <c r="L9" s="127">
        <f>K9/$K$19</f>
        <v>4.6722976798698974E-2</v>
      </c>
      <c r="M9" s="124">
        <f>'Cal_GHG Emission '!L40</f>
        <v>2068.4238359999999</v>
      </c>
      <c r="N9" s="127">
        <f>M9/$M$19</f>
        <v>4.4422696536457043E-2</v>
      </c>
      <c r="O9" s="124">
        <f>'Cal_GHG Emission '!M40</f>
        <v>1599.4998960000003</v>
      </c>
      <c r="P9" s="127">
        <f>O9/$O$19</f>
        <v>3.5223288699099076E-2</v>
      </c>
      <c r="Q9" s="124">
        <f>'Cal_GHG Emission '!N40</f>
        <v>2232.8713860000003</v>
      </c>
      <c r="R9" s="127">
        <f>Q9/$Q$19</f>
        <v>5.2416594338401512E-2</v>
      </c>
    </row>
    <row r="10" spans="1:18">
      <c r="A10" s="123" t="s">
        <v>208</v>
      </c>
      <c r="B10" s="123"/>
      <c r="C10" s="123"/>
      <c r="D10" s="139">
        <f t="shared" si="0"/>
        <v>0.29569120000000004</v>
      </c>
      <c r="E10" s="124">
        <f>SUM('Cal_GHG Emission '!H22,'Cal_GHG Emission '!H24,'Cal_GHG Emission '!H27,'Cal_GHG Emission '!H28)</f>
        <v>275.12799999999999</v>
      </c>
      <c r="F10" s="127">
        <f t="shared" si="1"/>
        <v>5.3403277454742923E-3</v>
      </c>
      <c r="G10" s="124">
        <f>SUM('Cal_GHG Emission '!I22,'Cal_GHG Emission '!I24,'Cal_GHG Emission '!I27,'Cal_GHG Emission '!I28)</f>
        <v>295.69120000000004</v>
      </c>
      <c r="H10" s="127">
        <f t="shared" si="2"/>
        <v>5.1497740486446475E-3</v>
      </c>
      <c r="I10" s="124">
        <f>SUM('Cal_GHG Emission '!J22,'Cal_GHG Emission '!J24,'Cal_GHG Emission '!J27,'Cal_GHG Emission '!J28)</f>
        <v>829.53920000000005</v>
      </c>
      <c r="J10" s="127">
        <f t="shared" si="3"/>
        <v>1.6514472429752514E-2</v>
      </c>
      <c r="K10" s="124">
        <f>SUM('Cal_GHG Emission '!K22,'Cal_GHG Emission '!K24,'Cal_GHG Emission '!K27,'Cal_GHG Emission '!K28)</f>
        <v>1348.3120000000001</v>
      </c>
      <c r="L10" s="127">
        <f>K10/$K$19</f>
        <v>2.8070069015501718E-2</v>
      </c>
      <c r="M10" s="124">
        <f>SUM('Cal_GHG Emission '!L22,'Cal_GHG Emission '!L24,'Cal_GHG Emission '!L27,'Cal_GHG Emission '!L28)</f>
        <v>1603.2687999999998</v>
      </c>
      <c r="N10" s="127">
        <f>M10/$M$19</f>
        <v>3.4432751223028177E-2</v>
      </c>
      <c r="O10" s="124">
        <f>SUM('Cal_GHG Emission '!M22,'Cal_GHG Emission '!M24,'Cal_GHG Emission '!M27,'Cal_GHG Emission '!M28)</f>
        <v>1224.1935999999998</v>
      </c>
      <c r="P10" s="127">
        <f>O10/$O$19</f>
        <v>2.6958504157595396E-2</v>
      </c>
      <c r="Q10" s="124">
        <f>SUM('Cal_GHG Emission '!N22:N29)</f>
        <v>1366.4448</v>
      </c>
      <c r="R10" s="127">
        <f>Q10/$Q$19</f>
        <v>3.2077254075850374E-2</v>
      </c>
    </row>
    <row r="11" spans="1:18" hidden="1">
      <c r="A11" s="123" t="s">
        <v>231</v>
      </c>
      <c r="B11" s="123"/>
      <c r="C11" s="123"/>
      <c r="D11" s="139"/>
      <c r="E11" s="124">
        <v>0</v>
      </c>
      <c r="F11" s="127">
        <v>0</v>
      </c>
      <c r="G11" s="124">
        <v>0</v>
      </c>
      <c r="H11" s="127">
        <v>0</v>
      </c>
      <c r="I11" s="124">
        <f>SUM('Cal_GHG Emission '!J52:J56)</f>
        <v>-204.80845461510003</v>
      </c>
      <c r="J11" s="127">
        <f t="shared" si="3"/>
        <v>-4.0773282047687305E-3</v>
      </c>
      <c r="K11" s="124">
        <f>SUM('Cal_GHG Emission '!K52:K56)</f>
        <v>0</v>
      </c>
      <c r="L11" s="127">
        <f>K11/$I$19</f>
        <v>0</v>
      </c>
      <c r="M11" s="124">
        <f>SUM('Cal_GHG Emission '!L52:L56)</f>
        <v>0</v>
      </c>
      <c r="N11" s="127">
        <f>M11/$I$19</f>
        <v>0</v>
      </c>
      <c r="O11" s="124">
        <f>SUM('Cal_GHG Emission '!M52:M56)</f>
        <v>0</v>
      </c>
      <c r="P11" s="127">
        <f>O11/$I$19</f>
        <v>0</v>
      </c>
      <c r="Q11" s="124">
        <f>SUM('Cal_GHG Emission '!N52:N56)</f>
        <v>0</v>
      </c>
      <c r="R11" s="127">
        <f>Q11/$I$19</f>
        <v>0</v>
      </c>
    </row>
    <row r="12" spans="1:18" hidden="1">
      <c r="A12" s="123" t="s">
        <v>232</v>
      </c>
      <c r="B12" s="123"/>
      <c r="C12" s="123"/>
      <c r="D12" s="139"/>
      <c r="E12" s="124"/>
      <c r="F12" s="127"/>
      <c r="G12" s="124"/>
      <c r="H12" s="127"/>
      <c r="I12" s="124">
        <v>-699.96</v>
      </c>
      <c r="J12" s="127">
        <f t="shared" si="3"/>
        <v>-1.3934808773267821E-2</v>
      </c>
      <c r="K12" s="124">
        <v>-699.96</v>
      </c>
      <c r="L12" s="127">
        <f>K12/$I$19</f>
        <v>-1.3934808773267821E-2</v>
      </c>
      <c r="M12" s="124">
        <v>-699.96</v>
      </c>
      <c r="N12" s="127">
        <f>M12/$I$19</f>
        <v>-1.3934808773267821E-2</v>
      </c>
      <c r="O12" s="124">
        <v>-699.96</v>
      </c>
      <c r="P12" s="127">
        <f>O12/$I$19</f>
        <v>-1.3934808773267821E-2</v>
      </c>
      <c r="Q12" s="124">
        <v>-699.96</v>
      </c>
      <c r="R12" s="127">
        <f>Q12/$I$19</f>
        <v>-1.3934808773267821E-2</v>
      </c>
    </row>
    <row r="13" spans="1:18" hidden="1">
      <c r="A13" s="123" t="s">
        <v>233</v>
      </c>
      <c r="B13" s="123"/>
      <c r="C13" s="123"/>
      <c r="D13" s="139"/>
      <c r="E13" s="124"/>
      <c r="F13" s="127"/>
      <c r="G13" s="124"/>
      <c r="H13" s="127"/>
      <c r="I13" s="124">
        <v>-1765.82</v>
      </c>
      <c r="J13" s="127">
        <f>I13/$I$19</f>
        <v>-3.5153957409011637E-2</v>
      </c>
      <c r="K13" s="124">
        <v>-1765.82</v>
      </c>
      <c r="L13" s="127">
        <f>K13/$I$19</f>
        <v>-3.5153957409011637E-2</v>
      </c>
      <c r="M13" s="124">
        <v>-1765.82</v>
      </c>
      <c r="N13" s="127">
        <f>M13/$I$19</f>
        <v>-3.5153957409011637E-2</v>
      </c>
      <c r="O13" s="124">
        <v>-1765.82</v>
      </c>
      <c r="P13" s="127">
        <f>O13/$I$19</f>
        <v>-3.5153957409011637E-2</v>
      </c>
      <c r="Q13" s="124">
        <v>-1765.82</v>
      </c>
      <c r="R13" s="127">
        <f>Q13/$I$19</f>
        <v>-3.5153957409011637E-2</v>
      </c>
    </row>
    <row r="14" spans="1:18" hidden="1">
      <c r="A14" s="123" t="s">
        <v>234</v>
      </c>
      <c r="B14" s="123"/>
      <c r="C14" s="123"/>
      <c r="D14" s="139"/>
      <c r="E14" s="124"/>
      <c r="F14" s="127"/>
      <c r="G14" s="124"/>
      <c r="H14" s="127"/>
      <c r="I14" s="124"/>
      <c r="J14" s="127"/>
      <c r="K14" s="124"/>
      <c r="L14" s="127"/>
      <c r="M14" s="124"/>
      <c r="N14" s="127"/>
      <c r="O14" s="124"/>
      <c r="P14" s="127"/>
      <c r="Q14" s="124"/>
      <c r="R14" s="127"/>
    </row>
    <row r="15" spans="1:18">
      <c r="A15" s="123" t="s">
        <v>214</v>
      </c>
      <c r="B15" s="131">
        <v>74367200</v>
      </c>
      <c r="C15" s="133">
        <v>0.84</v>
      </c>
      <c r="D15" s="140">
        <f>B15/1000*C15</f>
        <v>62468.447999999997</v>
      </c>
      <c r="E15" s="124">
        <f>'Cal_GHG Emission '!H46</f>
        <v>37791.240240000006</v>
      </c>
      <c r="F15" s="127">
        <f>E15/$E$19</f>
        <v>0.73354078388806887</v>
      </c>
      <c r="G15" s="124">
        <f>'Cal_GHG Emission '!I46</f>
        <v>37176.163280000001</v>
      </c>
      <c r="H15" s="127">
        <f>G15/$G$19</f>
        <v>0.64746208506550096</v>
      </c>
      <c r="I15" s="124">
        <f>'Cal_GHG Emission '!J46</f>
        <v>36876.323259999997</v>
      </c>
      <c r="J15" s="127">
        <f>I15/$I$19</f>
        <v>0.7341341117911141</v>
      </c>
      <c r="K15" s="124">
        <f>'Cal_GHG Emission '!K46</f>
        <v>39278.742680000003</v>
      </c>
      <c r="L15" s="127">
        <f>K15/$K$19</f>
        <v>0.817731369200699</v>
      </c>
      <c r="M15" s="124">
        <f>'Cal_GHG Emission '!L46</f>
        <v>38356.927080000001</v>
      </c>
      <c r="N15" s="127">
        <f>M15/$M$19</f>
        <v>0.82377610530777667</v>
      </c>
      <c r="O15" s="124">
        <f>'Cal_GHG Emission '!M46</f>
        <v>37604.27764</v>
      </c>
      <c r="P15" s="127">
        <f>O15/$O$19</f>
        <v>0.82810028993887219</v>
      </c>
      <c r="Q15" s="124">
        <f>'Cal_GHG Emission '!N46</f>
        <v>34131.852264000001</v>
      </c>
      <c r="R15" s="127">
        <f>Q15/$Q$19</f>
        <v>0.80124429259909868</v>
      </c>
    </row>
    <row r="16" spans="1:18">
      <c r="A16" s="123" t="s">
        <v>213</v>
      </c>
      <c r="B16" s="131"/>
      <c r="C16" s="133"/>
      <c r="D16" s="140"/>
      <c r="E16" s="124"/>
      <c r="F16" s="127"/>
      <c r="G16" s="124"/>
      <c r="H16" s="127"/>
      <c r="I16" s="124"/>
      <c r="J16" s="127">
        <f>I16/$I$19</f>
        <v>0</v>
      </c>
      <c r="K16" s="124"/>
      <c r="L16" s="127">
        <f>K16/$I$19</f>
        <v>0</v>
      </c>
      <c r="M16" s="124"/>
      <c r="N16" s="127">
        <f>M16/$I$19</f>
        <v>0</v>
      </c>
      <c r="O16" s="124"/>
      <c r="P16" s="127">
        <f>O16/$I$19</f>
        <v>0</v>
      </c>
      <c r="Q16" s="124"/>
      <c r="R16" s="127">
        <f>Q16/$I$19</f>
        <v>0</v>
      </c>
    </row>
    <row r="17" spans="1:18">
      <c r="A17" s="255" t="s">
        <v>216</v>
      </c>
      <c r="B17" s="256">
        <f>B23</f>
        <v>18680</v>
      </c>
      <c r="C17" s="257">
        <v>0.02</v>
      </c>
      <c r="D17" s="258">
        <f>(B17*2*3.84*240/100)*C17</f>
        <v>6886.1952000000001</v>
      </c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59"/>
      <c r="P17" s="260"/>
      <c r="Q17" s="259"/>
      <c r="R17" s="260"/>
    </row>
    <row r="18" spans="1:18">
      <c r="A18" s="255" t="s">
        <v>217</v>
      </c>
      <c r="B18" s="256">
        <f>B22</f>
        <v>34530</v>
      </c>
      <c r="C18" s="257">
        <v>0.01</v>
      </c>
      <c r="D18" s="258">
        <f>B18*2*3.84*240/100*C18</f>
        <v>6364.5695999999998</v>
      </c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59"/>
      <c r="P18" s="260"/>
      <c r="Q18" s="259"/>
      <c r="R18" s="260"/>
    </row>
    <row r="19" spans="1:18">
      <c r="A19" s="125" t="s">
        <v>110</v>
      </c>
      <c r="B19" s="132"/>
      <c r="C19" s="132"/>
      <c r="D19" s="140">
        <f>SUM(D5:D18)</f>
        <v>75739.454922883029</v>
      </c>
      <c r="E19" s="126">
        <f>SUM(E5:E15)</f>
        <v>51518.935374923312</v>
      </c>
      <c r="F19" s="128">
        <f>SUM(F5:F15)</f>
        <v>1</v>
      </c>
      <c r="G19" s="126">
        <f>SUM(G5:G15)</f>
        <v>57418.286163025361</v>
      </c>
      <c r="H19" s="128">
        <f>SUM(H5:H15)</f>
        <v>1</v>
      </c>
      <c r="I19" s="126">
        <f>SUM(I5:I10,I15:I18)</f>
        <v>50231.044529494029</v>
      </c>
      <c r="J19" s="128">
        <f>SUM(J5:J10,J15:J18)</f>
        <v>1</v>
      </c>
      <c r="K19" s="126">
        <f>SUM(K5:K10,K15:K18)</f>
        <v>48033.797111627828</v>
      </c>
      <c r="L19" s="128">
        <f>SUM(L5:L10,L15:L18)</f>
        <v>1</v>
      </c>
      <c r="M19" s="126">
        <f>SUM(M5:M10,M15:M18)</f>
        <v>46562.320553919446</v>
      </c>
      <c r="N19" s="128">
        <f>SUM(N5:N10,N15:N18)</f>
        <v>0.99999999999999989</v>
      </c>
      <c r="O19" s="126">
        <f>SUM(O5:O10,O15:O18)</f>
        <v>45410.294014962645</v>
      </c>
      <c r="P19" s="128">
        <f>SUM(P5:P10,P15:P18)</f>
        <v>1</v>
      </c>
      <c r="Q19" s="126">
        <f>SUM(Q5:Q10,Q15:Q18)</f>
        <v>42598.55899039498</v>
      </c>
      <c r="R19" s="128">
        <f>SUM(R5:R10,R15:R18)</f>
        <v>1</v>
      </c>
    </row>
    <row r="20" spans="1:18">
      <c r="A20" s="121" t="s">
        <v>215</v>
      </c>
      <c r="H20" s="142"/>
      <c r="J20" s="142"/>
    </row>
    <row r="21" spans="1:18">
      <c r="H21" s="129"/>
      <c r="J21" s="129"/>
    </row>
    <row r="22" spans="1:18">
      <c r="B22" s="121">
        <f>(37970+31090)/2</f>
        <v>34530</v>
      </c>
      <c r="D22" s="142">
        <f>D19/D23</f>
        <v>1.6419766063885151</v>
      </c>
      <c r="G22" s="134">
        <f>D19+G10+G9+G8+G7+G6+G5</f>
        <v>95981.577805908397</v>
      </c>
    </row>
    <row r="23" spans="1:18" ht="27">
      <c r="B23" s="121">
        <f>(19462+17898)/2</f>
        <v>18680</v>
      </c>
      <c r="D23" s="143">
        <v>46127</v>
      </c>
      <c r="G23" s="134">
        <f>G22/D23</f>
        <v>2.0808111909707634</v>
      </c>
    </row>
    <row r="24" spans="1:18">
      <c r="B24" s="129">
        <f>B17*1.92*2*240</f>
        <v>17215488</v>
      </c>
    </row>
    <row r="25" spans="1:18">
      <c r="B25" s="129">
        <f>B18*1.92*2*240</f>
        <v>31822847.999999996</v>
      </c>
    </row>
    <row r="26" spans="1:18">
      <c r="B26" s="129">
        <f>B24+B25+B28</f>
        <v>49558856</v>
      </c>
    </row>
    <row r="27" spans="1:18">
      <c r="B27" s="121">
        <f>6608+3402</f>
        <v>10010</v>
      </c>
    </row>
    <row r="28" spans="1:18">
      <c r="B28" s="121">
        <f>B27*52</f>
        <v>520520</v>
      </c>
    </row>
    <row r="31" spans="1:18" ht="24.6">
      <c r="A31" s="121" t="s">
        <v>238</v>
      </c>
      <c r="B31" s="121" t="s">
        <v>235</v>
      </c>
      <c r="C31" s="122" t="s">
        <v>236</v>
      </c>
      <c r="D31" s="122" t="s">
        <v>237</v>
      </c>
    </row>
    <row r="32" spans="1:18" ht="24.6">
      <c r="A32" s="123">
        <v>59</v>
      </c>
      <c r="B32" s="145">
        <v>75172000</v>
      </c>
      <c r="C32" s="146">
        <f>B32-B33</f>
        <v>804800</v>
      </c>
      <c r="D32" s="124">
        <f>C32*0.561/1000</f>
        <v>451.49280000000005</v>
      </c>
    </row>
    <row r="33" spans="1:5">
      <c r="A33" s="147">
        <v>60</v>
      </c>
      <c r="B33" s="131">
        <v>74367200</v>
      </c>
      <c r="C33" s="146">
        <f>B33-B34</f>
        <v>599800</v>
      </c>
      <c r="D33" s="124">
        <f>C33*0.561/1000</f>
        <v>336.48780000000005</v>
      </c>
      <c r="E33" s="122" t="s">
        <v>239</v>
      </c>
    </row>
    <row r="34" spans="1:5">
      <c r="A34" s="147">
        <v>61</v>
      </c>
      <c r="B34" s="149">
        <v>73767400</v>
      </c>
      <c r="C34" s="146"/>
      <c r="D34" s="130"/>
    </row>
  </sheetData>
  <mergeCells count="9">
    <mergeCell ref="O3:P3"/>
    <mergeCell ref="Q3:R3"/>
    <mergeCell ref="K3:L3"/>
    <mergeCell ref="M3:N3"/>
    <mergeCell ref="A2:A4"/>
    <mergeCell ref="E3:F3"/>
    <mergeCell ref="G3:H3"/>
    <mergeCell ref="I3:J3"/>
    <mergeCell ref="E2:J2"/>
  </mergeCells>
  <pageMargins left="0.31496062992125984" right="0.31496062992125984" top="0.31496062992125984" bottom="0.31496062992125984" header="0.31496062992125984" footer="0.31496062992125984"/>
  <pageSetup paperSize="9" scale="78" fitToWidth="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view="pageLayout" topLeftCell="A21" zoomScale="90" zoomScaleNormal="70" zoomScaleSheetLayoutView="90" zoomScalePageLayoutView="90" workbookViewId="0">
      <selection activeCell="N22" sqref="N22"/>
    </sheetView>
  </sheetViews>
  <sheetFormatPr defaultColWidth="9.109375" defaultRowHeight="16.8"/>
  <cols>
    <col min="1" max="1" width="5.33203125" style="11" customWidth="1"/>
    <col min="2" max="2" width="4.6640625" style="11" customWidth="1"/>
    <col min="3" max="4" width="11.109375" style="11" customWidth="1"/>
    <col min="5" max="5" width="14.88671875" style="11" customWidth="1"/>
    <col min="6" max="6" width="12.88671875" style="11" customWidth="1"/>
    <col min="7" max="7" width="15.44140625" style="11" customWidth="1"/>
    <col min="8" max="8" width="16.44140625" style="39" hidden="1" customWidth="1"/>
    <col min="9" max="14" width="16.44140625" style="39" customWidth="1"/>
    <col min="15" max="15" width="11.33203125" style="11" customWidth="1"/>
    <col min="16" max="16384" width="9.109375" style="11"/>
  </cols>
  <sheetData>
    <row r="1" spans="1:15" ht="57.75" customHeight="1">
      <c r="A1" s="232" t="s">
        <v>103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27" thickBot="1">
      <c r="A2" s="7"/>
      <c r="B2" s="10"/>
      <c r="C2" s="6"/>
      <c r="D2" s="10"/>
      <c r="E2" s="10"/>
      <c r="F2" s="10"/>
      <c r="G2" s="10"/>
      <c r="H2" s="92"/>
      <c r="I2" s="92"/>
      <c r="J2" s="92"/>
      <c r="K2" s="92"/>
      <c r="L2" s="92"/>
      <c r="M2" s="92"/>
      <c r="N2" s="92"/>
    </row>
    <row r="3" spans="1:15" ht="70.8" thickBot="1">
      <c r="A3" s="221" t="s">
        <v>77</v>
      </c>
      <c r="B3" s="222"/>
      <c r="C3" s="222"/>
      <c r="D3" s="222"/>
      <c r="E3" s="222"/>
      <c r="F3" s="222"/>
      <c r="G3" s="48" t="s">
        <v>1</v>
      </c>
      <c r="H3" s="49" t="s">
        <v>78</v>
      </c>
      <c r="I3" s="49" t="s">
        <v>79</v>
      </c>
      <c r="J3" s="49" t="s">
        <v>240</v>
      </c>
      <c r="K3" s="49" t="s">
        <v>251</v>
      </c>
      <c r="L3" s="49" t="s">
        <v>252</v>
      </c>
      <c r="M3" s="49" t="s">
        <v>277</v>
      </c>
      <c r="N3" s="49" t="s">
        <v>278</v>
      </c>
      <c r="O3" s="47" t="s">
        <v>85</v>
      </c>
    </row>
    <row r="4" spans="1:15" ht="6.75" customHeight="1" thickBot="1">
      <c r="A4" s="205"/>
      <c r="B4" s="206"/>
      <c r="C4" s="206"/>
      <c r="D4" s="206"/>
      <c r="E4" s="206"/>
      <c r="F4" s="206"/>
      <c r="G4" s="208"/>
      <c r="H4" s="209"/>
      <c r="I4" s="209"/>
      <c r="J4" s="209"/>
      <c r="K4" s="209"/>
      <c r="L4" s="209"/>
      <c r="M4" s="209"/>
      <c r="N4" s="209"/>
      <c r="O4" s="210"/>
    </row>
    <row r="5" spans="1:15" ht="47.25" customHeight="1" thickBot="1">
      <c r="A5" s="212" t="s">
        <v>26</v>
      </c>
      <c r="B5" s="213"/>
      <c r="C5" s="213"/>
      <c r="D5" s="213"/>
      <c r="E5" s="213"/>
      <c r="F5" s="213"/>
      <c r="G5" s="12"/>
      <c r="H5" s="13"/>
      <c r="I5" s="13"/>
      <c r="J5" s="13"/>
      <c r="K5" s="13"/>
      <c r="L5" s="13"/>
      <c r="M5" s="13"/>
      <c r="N5" s="13"/>
      <c r="O5" s="14"/>
    </row>
    <row r="6" spans="1:15" ht="24.6">
      <c r="A6" s="1" t="s">
        <v>0</v>
      </c>
      <c r="B6" s="15" t="s">
        <v>2</v>
      </c>
      <c r="C6" s="16"/>
      <c r="D6" s="16"/>
      <c r="E6" s="16"/>
      <c r="F6" s="16"/>
      <c r="G6" s="5" t="s">
        <v>160</v>
      </c>
      <c r="H6" s="91">
        <f>สรุป_Consumption!H5*'Ref.EF'!G15/1000</f>
        <v>3236.196259167109</v>
      </c>
      <c r="I6" s="91">
        <f>สรุป_Consumption!I5*'Ref.EF'!G15/1000</f>
        <v>3143.6277162847546</v>
      </c>
      <c r="J6" s="91">
        <f>สรุป_Consumption!J5*'Ref.EF'!G15/1000</f>
        <v>2192.3450729946121</v>
      </c>
      <c r="K6" s="91">
        <f>สรุป_Consumption!K5*'Ref.EF'!G15/1000</f>
        <v>1802.8810400537568</v>
      </c>
      <c r="L6" s="91">
        <f>สรุป_Consumption!L5*'Ref.EF'!G15/1000</f>
        <v>3124.8242279218694</v>
      </c>
      <c r="M6" s="91">
        <f>สรุป_Consumption!M5*'Ref.EF'!G15/1000</f>
        <v>3340.9033553248191</v>
      </c>
      <c r="N6" s="91">
        <f>สรุป_Consumption!N5*'Ref.EF'!G15/1000</f>
        <v>3180.2365626350975</v>
      </c>
      <c r="O6" s="42"/>
    </row>
    <row r="7" spans="1:15" ht="24.6">
      <c r="A7" s="1" t="s">
        <v>0</v>
      </c>
      <c r="B7" s="18" t="s">
        <v>3</v>
      </c>
      <c r="C7" s="19"/>
      <c r="D7" s="19"/>
      <c r="E7" s="19"/>
      <c r="F7" s="19"/>
      <c r="G7" s="5" t="s">
        <v>160</v>
      </c>
      <c r="H7" s="93">
        <f>สรุป_Consumption!H6*'Ref.EF'!G17/1000</f>
        <v>2761.1819867879999</v>
      </c>
      <c r="I7" s="93">
        <f>สรุป_Consumption!I6*'Ref.EF'!G17/1000</f>
        <v>339.52953632399999</v>
      </c>
      <c r="J7" s="91">
        <f>สรุป_Consumption!J6*'Ref.EF'!G17/1000</f>
        <v>1250.8982917199999</v>
      </c>
      <c r="K7" s="91">
        <f>สรุป_Consumption!K6*'Ref.EF'!G17/1000</f>
        <v>1327.0595861957399</v>
      </c>
      <c r="L7" s="91">
        <f>สรุป_Consumption!L6*'Ref.EF'!G17/1000</f>
        <v>69.719980544999999</v>
      </c>
      <c r="M7" s="91">
        <f>สรุป_Consumption!M6*'Ref.EF'!G17/1000</f>
        <v>88.951864887179994</v>
      </c>
      <c r="N7" s="91">
        <f>สรุป_Consumption!N6*'Ref.EF'!G17/1000</f>
        <v>76.984396381979991</v>
      </c>
      <c r="O7" s="42"/>
    </row>
    <row r="8" spans="1:15" ht="24.6">
      <c r="A8" s="1" t="s">
        <v>0</v>
      </c>
      <c r="B8" s="18" t="s">
        <v>10</v>
      </c>
      <c r="C8" s="19"/>
      <c r="D8" s="19"/>
      <c r="E8" s="19"/>
      <c r="F8" s="19"/>
      <c r="G8" s="5" t="s">
        <v>160</v>
      </c>
      <c r="H8" s="99"/>
      <c r="I8" s="99"/>
      <c r="J8" s="116"/>
      <c r="K8" s="116"/>
      <c r="L8" s="116"/>
      <c r="M8" s="116"/>
      <c r="N8" s="116"/>
      <c r="O8" s="42"/>
    </row>
    <row r="9" spans="1:15" ht="24.6">
      <c r="A9" s="1" t="s">
        <v>0</v>
      </c>
      <c r="B9" s="18" t="s">
        <v>7</v>
      </c>
      <c r="C9" s="19"/>
      <c r="D9" s="19"/>
      <c r="E9" s="19"/>
      <c r="F9" s="19"/>
      <c r="G9" s="5" t="s">
        <v>160</v>
      </c>
      <c r="H9" s="99"/>
      <c r="I9" s="99"/>
      <c r="J9" s="116"/>
      <c r="K9" s="116"/>
      <c r="L9" s="116"/>
      <c r="M9" s="116"/>
      <c r="N9" s="116"/>
      <c r="O9" s="42"/>
    </row>
    <row r="10" spans="1:15" ht="24.6">
      <c r="A10" s="1" t="s">
        <v>0</v>
      </c>
      <c r="B10" s="18" t="s">
        <v>8</v>
      </c>
      <c r="C10" s="19"/>
      <c r="D10" s="19"/>
      <c r="E10" s="19"/>
      <c r="F10" s="19"/>
      <c r="G10" s="5" t="s">
        <v>160</v>
      </c>
      <c r="H10" s="99"/>
      <c r="I10" s="99"/>
      <c r="J10" s="116"/>
      <c r="K10" s="116"/>
      <c r="L10" s="116"/>
      <c r="M10" s="116"/>
      <c r="N10" s="116"/>
      <c r="O10" s="42"/>
    </row>
    <row r="11" spans="1:15" ht="24.6">
      <c r="A11" s="1" t="s">
        <v>0</v>
      </c>
      <c r="B11" s="18" t="s">
        <v>14</v>
      </c>
      <c r="C11" s="19"/>
      <c r="D11" s="19"/>
      <c r="E11" s="19"/>
      <c r="F11" s="19"/>
      <c r="G11" s="5" t="s">
        <v>160</v>
      </c>
      <c r="H11" s="99"/>
      <c r="I11" s="99"/>
      <c r="J11" s="116"/>
      <c r="K11" s="116"/>
      <c r="L11" s="116"/>
      <c r="M11" s="116"/>
      <c r="N11" s="116"/>
      <c r="O11" s="42"/>
    </row>
    <row r="12" spans="1:15" ht="25.2" thickBot="1">
      <c r="A12" s="1" t="s">
        <v>0</v>
      </c>
      <c r="B12" s="18" t="s">
        <v>6</v>
      </c>
      <c r="C12" s="19"/>
      <c r="D12" s="19"/>
      <c r="E12" s="19"/>
      <c r="F12" s="19"/>
      <c r="G12" s="5" t="s">
        <v>160</v>
      </c>
      <c r="H12" s="99"/>
      <c r="I12" s="99"/>
      <c r="J12" s="116"/>
      <c r="K12" s="116"/>
      <c r="L12" s="116"/>
      <c r="M12" s="116"/>
      <c r="N12" s="116"/>
      <c r="O12" s="42"/>
    </row>
    <row r="13" spans="1:15" ht="58.5" customHeight="1" thickBot="1">
      <c r="A13" s="212" t="s">
        <v>27</v>
      </c>
      <c r="B13" s="213"/>
      <c r="C13" s="213"/>
      <c r="D13" s="213"/>
      <c r="E13" s="213"/>
      <c r="F13" s="213"/>
      <c r="G13" s="12"/>
      <c r="H13" s="13"/>
      <c r="I13" s="13"/>
      <c r="J13" s="13"/>
      <c r="K13" s="13"/>
      <c r="L13" s="13"/>
      <c r="M13" s="13"/>
      <c r="N13" s="13"/>
      <c r="O13" s="14"/>
    </row>
    <row r="14" spans="1:15" ht="24.6">
      <c r="A14" s="1" t="s">
        <v>0</v>
      </c>
      <c r="B14" s="15" t="s">
        <v>3</v>
      </c>
      <c r="C14" s="16"/>
      <c r="D14" s="16"/>
      <c r="E14" s="16"/>
      <c r="F14" s="16"/>
      <c r="G14" s="5" t="s">
        <v>160</v>
      </c>
      <c r="H14" s="20">
        <f>สรุป_Consumption!H13*'Ref.EF'!G29/1000</f>
        <v>52.872103251395998</v>
      </c>
      <c r="I14" s="20">
        <f>สรุป_Consumption!I13*'Ref.EF'!G29/1000</f>
        <v>178.14670676220601</v>
      </c>
      <c r="J14" s="20">
        <f>สรุป_Consumption!J13*'Ref.EF'!G29/1000</f>
        <v>177.39859417862402</v>
      </c>
      <c r="K14" s="20">
        <f>สรุป_Consumption!K13*'Ref.EF'!G29/1000</f>
        <v>177.54383215272603</v>
      </c>
      <c r="L14" s="20">
        <f>สรุป_Consumption!L13*'Ref.EF'!G29/1000</f>
        <v>107.03216589577201</v>
      </c>
      <c r="M14" s="20">
        <f>สรุป_Consumption!M13*'Ref.EF'!G29/1000</f>
        <v>100.767750635448</v>
      </c>
      <c r="N14" s="20">
        <f>สรุป_Consumption!N13*'Ref.EF'!G29/1000</f>
        <v>115.51351551550201</v>
      </c>
      <c r="O14" s="42"/>
    </row>
    <row r="15" spans="1:15" ht="24.6">
      <c r="A15" s="1" t="s">
        <v>0</v>
      </c>
      <c r="B15" s="18" t="s">
        <v>9</v>
      </c>
      <c r="C15" s="19"/>
      <c r="D15" s="19"/>
      <c r="E15" s="19"/>
      <c r="F15" s="19"/>
      <c r="G15" s="5" t="s">
        <v>160</v>
      </c>
      <c r="H15" s="3">
        <f>สรุป_Consumption!H14*'Ref.EF'!G27/1000</f>
        <v>78.197237956800009</v>
      </c>
      <c r="I15" s="3">
        <f>สรุป_Consumption!I14*'Ref.EF'!G27/1000</f>
        <v>43.803893654399999</v>
      </c>
      <c r="J15" s="3">
        <f>สรุป_Consumption!J14*'Ref.EF'!G27/1000</f>
        <v>35.889496780800002</v>
      </c>
      <c r="K15" s="3">
        <f>สรุป_Consumption!K14*'Ref.EF'!G27/1000</f>
        <v>45.363615585599995</v>
      </c>
      <c r="L15" s="3">
        <f>สรุป_Consumption!L14*'Ref.EF'!G27/1000</f>
        <v>36.820335196800002</v>
      </c>
      <c r="M15" s="3">
        <f>สรุป_Consumption!M14*'Ref.EF'!G27/1000</f>
        <v>32.186576155200001</v>
      </c>
      <c r="N15" s="3">
        <f>สรุป_Consumption!N14*'Ref.EF'!G27/1000</f>
        <v>36.209614382400005</v>
      </c>
      <c r="O15" s="52"/>
    </row>
    <row r="16" spans="1:15" ht="24.6">
      <c r="A16" s="1" t="s">
        <v>0</v>
      </c>
      <c r="B16" s="18" t="s">
        <v>11</v>
      </c>
      <c r="C16" s="19"/>
      <c r="D16" s="19"/>
      <c r="E16" s="19"/>
      <c r="F16" s="19"/>
      <c r="G16" s="5" t="s">
        <v>160</v>
      </c>
      <c r="H16" s="99"/>
      <c r="I16" s="99"/>
      <c r="J16" s="116"/>
      <c r="K16" s="116"/>
      <c r="L16" s="116"/>
      <c r="M16" s="116"/>
      <c r="N16" s="116"/>
      <c r="O16" s="42"/>
    </row>
    <row r="17" spans="1:15" ht="24.6">
      <c r="A17" s="1" t="s">
        <v>0</v>
      </c>
      <c r="B17" s="18" t="s">
        <v>10</v>
      </c>
      <c r="C17" s="19"/>
      <c r="D17" s="19"/>
      <c r="E17" s="19"/>
      <c r="F17" s="19"/>
      <c r="G17" s="5" t="s">
        <v>160</v>
      </c>
      <c r="H17" s="99"/>
      <c r="I17" s="99"/>
      <c r="J17" s="116"/>
      <c r="K17" s="116"/>
      <c r="L17" s="116"/>
      <c r="M17" s="116"/>
      <c r="N17" s="116"/>
      <c r="O17" s="42"/>
    </row>
    <row r="18" spans="1:15" ht="24.6">
      <c r="A18" s="1" t="s">
        <v>0</v>
      </c>
      <c r="B18" s="18" t="s">
        <v>12</v>
      </c>
      <c r="C18" s="19"/>
      <c r="D18" s="19"/>
      <c r="E18" s="19"/>
      <c r="F18" s="19"/>
      <c r="G18" s="5" t="s">
        <v>160</v>
      </c>
      <c r="H18" s="99"/>
      <c r="I18" s="99"/>
      <c r="J18" s="116"/>
      <c r="K18" s="116"/>
      <c r="L18" s="116"/>
      <c r="M18" s="116"/>
      <c r="N18" s="116"/>
      <c r="O18" s="42"/>
    </row>
    <row r="19" spans="1:15" ht="24.6">
      <c r="A19" s="1" t="s">
        <v>0</v>
      </c>
      <c r="B19" s="18" t="s">
        <v>13</v>
      </c>
      <c r="C19" s="19"/>
      <c r="D19" s="19"/>
      <c r="E19" s="19"/>
      <c r="F19" s="19"/>
      <c r="G19" s="5" t="s">
        <v>160</v>
      </c>
      <c r="H19" s="99"/>
      <c r="I19" s="99"/>
      <c r="J19" s="3">
        <f>สรุป_Consumption!J18*0.079/1000</f>
        <v>0.36929181999999999</v>
      </c>
      <c r="K19" s="3">
        <f>สรุป_Consumption!K18*0.079/1000</f>
        <v>0.80545555999999996</v>
      </c>
      <c r="L19" s="3">
        <f>สรุป_Consumption!L18*0.079/1000</f>
        <v>0.91734799999999994</v>
      </c>
      <c r="M19" s="3">
        <f>สรุป_Consumption!M18*0.079/1000</f>
        <v>0.85541200000000006</v>
      </c>
      <c r="N19" s="3">
        <f>สรุป_Consumption!N18*0.079/1000</f>
        <v>0.79139040000000005</v>
      </c>
      <c r="O19" s="42"/>
    </row>
    <row r="20" spans="1:15" ht="25.2" thickBot="1">
      <c r="A20" s="1" t="s">
        <v>0</v>
      </c>
      <c r="B20" s="18" t="s">
        <v>6</v>
      </c>
      <c r="C20" s="19"/>
      <c r="D20" s="19"/>
      <c r="E20" s="19"/>
      <c r="F20" s="19"/>
      <c r="G20" s="5" t="s">
        <v>160</v>
      </c>
      <c r="H20" s="99"/>
      <c r="I20" s="99"/>
      <c r="J20" s="116"/>
      <c r="K20" s="116"/>
      <c r="L20" s="116"/>
      <c r="M20" s="116"/>
      <c r="N20" s="116"/>
      <c r="O20" s="42"/>
    </row>
    <row r="21" spans="1:15" ht="24" thickBot="1">
      <c r="A21" s="212" t="s">
        <v>18</v>
      </c>
      <c r="B21" s="213"/>
      <c r="C21" s="213"/>
      <c r="D21" s="213"/>
      <c r="E21" s="213"/>
      <c r="F21" s="213"/>
      <c r="G21" s="12"/>
      <c r="H21" s="13"/>
      <c r="I21" s="13"/>
      <c r="J21" s="13"/>
      <c r="K21" s="13"/>
      <c r="L21" s="13"/>
      <c r="M21" s="13"/>
      <c r="N21" s="13"/>
      <c r="O21" s="14"/>
    </row>
    <row r="22" spans="1:15" ht="24.6">
      <c r="A22" s="1" t="s">
        <v>0</v>
      </c>
      <c r="B22" s="21" t="s">
        <v>20</v>
      </c>
      <c r="C22" s="16"/>
      <c r="D22" s="16"/>
      <c r="E22" s="16"/>
      <c r="F22" s="16"/>
      <c r="G22" s="5" t="s">
        <v>160</v>
      </c>
      <c r="H22" s="20">
        <f>สรุป_Consumption!H21*'Ref.EF'!G137/1000</f>
        <v>55.384</v>
      </c>
      <c r="I22" s="20">
        <f>สรุป_Consumption!I21*'Ref.EF'!G137/1000</f>
        <v>77.055999999999997</v>
      </c>
      <c r="J22" s="20">
        <f>สรุป_Consumption!J21*'Ref.EF'!G137/1000</f>
        <v>255.24799999999999</v>
      </c>
      <c r="K22" s="20">
        <f>สรุป_Consumption!K21*'Ref.EF'!G137/1000</f>
        <v>264.88</v>
      </c>
      <c r="L22" s="20">
        <f>สรุป_Consumption!L21*'Ref.EF'!G137/1000</f>
        <v>366.01600000000002</v>
      </c>
      <c r="M22" s="20">
        <f>สรุป_Consumption!M21*'Ref.EF'!G137/1000</f>
        <v>228.76</v>
      </c>
      <c r="N22" s="20">
        <f>สรุป_Consumption!N21*'Ref.EF'!G137/1000</f>
        <v>260.06400000000002</v>
      </c>
      <c r="O22" s="42"/>
    </row>
    <row r="23" spans="1:15" ht="24.6">
      <c r="A23" s="1" t="s">
        <v>0</v>
      </c>
      <c r="B23" s="23" t="s">
        <v>19</v>
      </c>
      <c r="C23" s="19"/>
      <c r="D23" s="19"/>
      <c r="E23" s="19"/>
      <c r="F23" s="19"/>
      <c r="G23" s="5" t="s">
        <v>160</v>
      </c>
      <c r="H23" s="99"/>
      <c r="I23" s="99"/>
      <c r="J23" s="116"/>
      <c r="K23" s="116"/>
      <c r="L23" s="116"/>
      <c r="M23" s="116"/>
      <c r="N23" s="116"/>
      <c r="O23" s="42"/>
    </row>
    <row r="24" spans="1:15" ht="24.6">
      <c r="A24" s="1" t="s">
        <v>0</v>
      </c>
      <c r="B24" s="23" t="s">
        <v>21</v>
      </c>
      <c r="C24" s="19"/>
      <c r="D24" s="19"/>
      <c r="E24" s="19"/>
      <c r="F24" s="19"/>
      <c r="G24" s="5" t="s">
        <v>160</v>
      </c>
      <c r="H24" s="3">
        <f>สรุป_Consumption!H23*'Ref.EF'!G139/1000</f>
        <v>206.08</v>
      </c>
      <c r="I24" s="3">
        <f>สรุป_Consumption!I23*'Ref.EF'!G139/1000</f>
        <v>206.08</v>
      </c>
      <c r="J24" s="3">
        <f>สรุป_Consumption!J23*'Ref.EF'!G139/1000</f>
        <v>563.80799999999999</v>
      </c>
      <c r="K24" s="3">
        <f>สรุป_Consumption!K23*'Ref.EF'!G139/1000</f>
        <v>1071.616</v>
      </c>
      <c r="L24" s="3">
        <f>สรุป_Consumption!L23*'Ref.EF'!G139/1000</f>
        <v>1224.6079999999999</v>
      </c>
      <c r="M24" s="3">
        <f>สรุป_Consumption!M23*'Ref.EF'!G139/1000</f>
        <v>986.048</v>
      </c>
      <c r="N24" s="3">
        <f>สรุป_Consumption!N23*'Ref.EF'!G139/1000</f>
        <v>1088.192</v>
      </c>
      <c r="O24" s="42"/>
    </row>
    <row r="25" spans="1:15" ht="24.6">
      <c r="A25" s="1" t="s">
        <v>0</v>
      </c>
      <c r="B25" s="23" t="s">
        <v>22</v>
      </c>
      <c r="C25" s="19"/>
      <c r="D25" s="19"/>
      <c r="E25" s="19"/>
      <c r="F25" s="19"/>
      <c r="G25" s="5" t="s">
        <v>160</v>
      </c>
      <c r="H25" s="99"/>
      <c r="I25" s="99"/>
      <c r="J25" s="116"/>
      <c r="K25" s="116"/>
      <c r="L25" s="116"/>
      <c r="M25" s="116"/>
      <c r="N25" s="116"/>
      <c r="O25" s="42"/>
    </row>
    <row r="26" spans="1:15" ht="24.6">
      <c r="A26" s="1" t="s">
        <v>0</v>
      </c>
      <c r="B26" s="23" t="s">
        <v>23</v>
      </c>
      <c r="C26" s="19"/>
      <c r="D26" s="19"/>
      <c r="E26" s="19"/>
      <c r="F26" s="19"/>
      <c r="G26" s="5" t="s">
        <v>160</v>
      </c>
      <c r="H26" s="99"/>
      <c r="I26" s="3">
        <f>สรุป_Consumption!I27*'Ref.EF'!$G$141/1000</f>
        <v>7.5600000000000005</v>
      </c>
      <c r="J26" s="3">
        <f>สรุป_Consumption!J27*'Ref.EF'!$G$141/1000</f>
        <v>6.4400000000000013</v>
      </c>
      <c r="K26" s="3">
        <f>สรุป_Consumption!K27*'Ref.EF'!$G$141/1000</f>
        <v>6.4400000000000013</v>
      </c>
      <c r="L26" s="3">
        <f>สรุป_Consumption!L27*'Ref.EF'!$G$141/1000</f>
        <v>7.0000000000000009</v>
      </c>
      <c r="M26" s="3">
        <f>สรุป_Consumption!M27*'Ref.EF'!$G$141/1000</f>
        <v>7.0000000000000009</v>
      </c>
      <c r="N26" s="3">
        <f>สรุป_Consumption!N27*'Ref.EF'!$G$141/1000</f>
        <v>7.0000000000000009</v>
      </c>
      <c r="O26" s="42"/>
    </row>
    <row r="27" spans="1:15" ht="24.6">
      <c r="A27" s="1" t="s">
        <v>0</v>
      </c>
      <c r="B27" s="25" t="s">
        <v>60</v>
      </c>
      <c r="C27" s="26"/>
      <c r="D27" s="26"/>
      <c r="E27" s="26"/>
      <c r="F27" s="26"/>
      <c r="G27" s="5" t="s">
        <v>160</v>
      </c>
      <c r="H27" s="94">
        <f>สรุป_Consumption!H28*'Ref.EF'!G142/1000</f>
        <v>7.84</v>
      </c>
      <c r="I27" s="94">
        <f>สรุป_Consumption!I28*'Ref.EF'!G142/1000</f>
        <v>7.1680000000000001</v>
      </c>
      <c r="J27" s="94">
        <f>สรุป_Consumption!J28*'Ref.EF'!G142/1000</f>
        <v>5.8239999999999998</v>
      </c>
      <c r="K27" s="94">
        <f>สรุป_Consumption!K28*'Ref.EF'!G142/1000</f>
        <v>6.72</v>
      </c>
      <c r="L27" s="94">
        <f>สรุป_Consumption!L28*'Ref.EF'!G142/1000</f>
        <v>7.84</v>
      </c>
      <c r="M27" s="94">
        <f>สรุป_Consumption!M28*'Ref.EF'!G142/1000</f>
        <v>5.6</v>
      </c>
      <c r="N27" s="94">
        <f>สรุป_Consumption!N28*'Ref.EF'!G142/1000</f>
        <v>6.72</v>
      </c>
      <c r="O27" s="42"/>
    </row>
    <row r="28" spans="1:15" ht="24.6">
      <c r="A28" s="1" t="s">
        <v>0</v>
      </c>
      <c r="B28" s="25" t="s">
        <v>24</v>
      </c>
      <c r="C28" s="26"/>
      <c r="D28" s="26"/>
      <c r="E28" s="26"/>
      <c r="F28" s="26"/>
      <c r="G28" s="5" t="s">
        <v>160</v>
      </c>
      <c r="H28" s="94">
        <f>สรุป_Consumption!H29*'Ref.EF'!G143/1000</f>
        <v>5.8239999999999998</v>
      </c>
      <c r="I28" s="94">
        <f>สรุป_Consumption!I29*'Ref.EF'!G143/1000</f>
        <v>5.3872</v>
      </c>
      <c r="J28" s="94">
        <f>สรุป_Consumption!J29*'Ref.EF'!G143/1000</f>
        <v>4.6592000000000002</v>
      </c>
      <c r="K28" s="94">
        <f>สรุป_Consumption!K29*'Ref.EF'!G143/1000</f>
        <v>5.0960000000000001</v>
      </c>
      <c r="L28" s="94">
        <f>สรุป_Consumption!L29*'Ref.EF'!G143/1000</f>
        <v>4.8048000000000002</v>
      </c>
      <c r="M28" s="94">
        <f>สรุป_Consumption!M29*'Ref.EF'!G143/1000</f>
        <v>3.7856000000000001</v>
      </c>
      <c r="N28" s="94">
        <f>สรุป_Consumption!N29*'Ref.EF'!G143/1000</f>
        <v>4.3680000000000003</v>
      </c>
      <c r="O28" s="42"/>
    </row>
    <row r="29" spans="1:15" ht="25.2" thickBot="1">
      <c r="A29" s="1" t="s">
        <v>0</v>
      </c>
      <c r="B29" s="25" t="s">
        <v>86</v>
      </c>
      <c r="C29" s="26"/>
      <c r="D29" s="26"/>
      <c r="E29" s="26"/>
      <c r="F29" s="26"/>
      <c r="G29" s="5" t="s">
        <v>160</v>
      </c>
      <c r="H29" s="104"/>
      <c r="I29" s="3">
        <f>สรุป_Consumption!I30*'Ref.EF'!$G$144/1000</f>
        <v>0.50399999999999989</v>
      </c>
      <c r="J29" s="3">
        <f>สรุป_Consumption!J30*'Ref.EF'!$G$144/1000</f>
        <v>0.42559999999999998</v>
      </c>
      <c r="K29" s="3">
        <f>สรุป_Consumption!K30*'Ref.EF'!$G$144/1000</f>
        <v>0.49279999999999996</v>
      </c>
      <c r="L29" s="3">
        <f>สรุป_Consumption!L30*'Ref.EF'!$G$144/1000</f>
        <v>0.41439999999999999</v>
      </c>
      <c r="M29" s="3">
        <f>สรุป_Consumption!M30*'Ref.EF'!$G$144/1000</f>
        <v>0.1008</v>
      </c>
      <c r="N29" s="3">
        <f>สรุป_Consumption!N30*'Ref.EF'!$G$144/1000</f>
        <v>0.1008</v>
      </c>
      <c r="O29" s="42"/>
    </row>
    <row r="30" spans="1:15" ht="25.2" thickBot="1">
      <c r="A30" s="212" t="s">
        <v>25</v>
      </c>
      <c r="B30" s="213"/>
      <c r="C30" s="213"/>
      <c r="D30" s="213"/>
      <c r="E30" s="213"/>
      <c r="F30" s="213"/>
      <c r="G30" s="28"/>
      <c r="H30" s="29"/>
      <c r="I30" s="29"/>
      <c r="J30" s="29"/>
      <c r="K30" s="29"/>
      <c r="L30" s="29"/>
      <c r="M30" s="29"/>
      <c r="N30" s="29"/>
      <c r="O30" s="30"/>
    </row>
    <row r="31" spans="1:15" ht="48.75" customHeight="1">
      <c r="A31" s="1" t="s">
        <v>0</v>
      </c>
      <c r="B31" s="217" t="s">
        <v>61</v>
      </c>
      <c r="C31" s="218"/>
      <c r="D31" s="218"/>
      <c r="E31" s="218"/>
      <c r="F31" s="218"/>
      <c r="G31" s="5" t="s">
        <v>160</v>
      </c>
      <c r="H31" s="114">
        <f>สรุป_Consumption!H32*365*8*'Ref.EF'!E157*'Ref.EF'!E149*'Ref.EF'!E151*25/1000/1000</f>
        <v>251.19300000000001</v>
      </c>
      <c r="I31" s="114">
        <f>สรุป_Consumption!I32*365*8*'Ref.EF'!E157*'Ref.EF'!E149*'Ref.EF'!E151*25/1000/1000</f>
        <v>251.2295</v>
      </c>
      <c r="J31" s="114"/>
      <c r="K31" s="114"/>
      <c r="L31" s="114"/>
      <c r="M31" s="114"/>
      <c r="N31" s="114"/>
      <c r="O31" s="42"/>
    </row>
    <row r="32" spans="1:15" ht="24.6">
      <c r="A32" s="1" t="s">
        <v>0</v>
      </c>
      <c r="B32" s="23" t="s">
        <v>68</v>
      </c>
      <c r="C32" s="19"/>
      <c r="D32" s="19"/>
      <c r="E32" s="19"/>
      <c r="F32" s="19"/>
      <c r="G32" s="5" t="s">
        <v>160</v>
      </c>
      <c r="H32" s="115">
        <f>สรุป_Consumption!H33*120*8*'Ref.EF'!E157*'Ref.EF'!E149*'Ref.EF'!E151*25/1000/1000</f>
        <v>341.35199999999998</v>
      </c>
      <c r="I32" s="115">
        <f>สรุป_Consumption!I33*120*8*'Ref.EF'!E157*'Ref.EF'!E149*'Ref.EF'!E151*25/1000/1000</f>
        <v>0</v>
      </c>
      <c r="J32" s="115"/>
      <c r="K32" s="115"/>
      <c r="L32" s="115"/>
      <c r="M32" s="115"/>
      <c r="N32" s="115"/>
      <c r="O32" s="44"/>
    </row>
    <row r="33" spans="1:15" ht="24.6">
      <c r="A33" s="1" t="s">
        <v>0</v>
      </c>
      <c r="B33" s="23" t="s">
        <v>28</v>
      </c>
      <c r="C33" s="19"/>
      <c r="D33" s="19"/>
      <c r="E33" s="19"/>
      <c r="F33" s="19"/>
      <c r="G33" s="5" t="s">
        <v>160</v>
      </c>
      <c r="H33" s="115">
        <f>สรุป_Consumption!H34*120*8*'Ref.EF'!E157*'Ref.EF'!E149*'Ref.EF'!E151*25/1000/1000</f>
        <v>324.67200000000003</v>
      </c>
      <c r="I33" s="115">
        <f>สรุป_Consumption!I34*120*8*'Ref.EF'!E157*'Ref.EF'!E149*'Ref.EF'!E151*25/1000/1000</f>
        <v>0</v>
      </c>
      <c r="J33" s="115"/>
      <c r="K33" s="115"/>
      <c r="L33" s="115"/>
      <c r="M33" s="115"/>
      <c r="N33" s="115"/>
      <c r="O33" s="44"/>
    </row>
    <row r="34" spans="1:15" ht="24.6">
      <c r="A34" s="1" t="s">
        <v>0</v>
      </c>
      <c r="B34" s="23" t="s">
        <v>29</v>
      </c>
      <c r="C34" s="19"/>
      <c r="D34" s="19"/>
      <c r="E34" s="19"/>
      <c r="F34" s="19"/>
      <c r="G34" s="5" t="s">
        <v>160</v>
      </c>
      <c r="H34" s="115">
        <f>สรุป_Consumption!H35*120*8*'Ref.EF'!E157*'Ref.EF'!E149*'Ref.EF'!E151*25/1000/1000</f>
        <v>92.447999999999993</v>
      </c>
      <c r="I34" s="115">
        <f>สรุป_Consumption!I35*120*8*'Ref.EF'!E157*'Ref.EF'!E149*'Ref.EF'!E151*25/1000/1000</f>
        <v>0</v>
      </c>
      <c r="J34" s="115"/>
      <c r="K34" s="115"/>
      <c r="L34" s="115"/>
      <c r="M34" s="115"/>
      <c r="N34" s="115"/>
      <c r="O34" s="44"/>
    </row>
    <row r="35" spans="1:15" ht="24.6">
      <c r="A35" s="1" t="s">
        <v>0</v>
      </c>
      <c r="B35" s="23" t="s">
        <v>30</v>
      </c>
      <c r="C35" s="19"/>
      <c r="D35" s="19"/>
      <c r="E35" s="19"/>
      <c r="F35" s="19"/>
      <c r="G35" s="5" t="s">
        <v>160</v>
      </c>
      <c r="H35" s="115" t="str">
        <f>สรุป_Consumption!H36</f>
        <v>-</v>
      </c>
      <c r="I35" s="115">
        <f>สรุป_Consumption!I36*120*8*'Ref.EF'!E157*'Ref.EF'!E149*'Ref.EF'!E151*25/1000/1000</f>
        <v>342.26400000000001</v>
      </c>
      <c r="J35" s="115"/>
      <c r="K35" s="115"/>
      <c r="L35" s="115"/>
      <c r="M35" s="115"/>
      <c r="N35" s="115"/>
      <c r="O35" s="44"/>
    </row>
    <row r="36" spans="1:15" ht="24.6">
      <c r="A36" s="1" t="s">
        <v>0</v>
      </c>
      <c r="B36" s="23" t="s">
        <v>69</v>
      </c>
      <c r="C36" s="19"/>
      <c r="D36" s="19"/>
      <c r="E36" s="19"/>
      <c r="F36" s="19"/>
      <c r="G36" s="5" t="s">
        <v>160</v>
      </c>
      <c r="H36" s="115" t="str">
        <f>สรุป_Consumption!H37</f>
        <v>-</v>
      </c>
      <c r="I36" s="115">
        <f>สรุป_Consumption!I37*120*8*'Ref.EF'!E157*'Ref.EF'!E149*'Ref.EF'!E151*25/1000/1000</f>
        <v>326.39999999999998</v>
      </c>
      <c r="J36" s="115"/>
      <c r="K36" s="115"/>
      <c r="L36" s="115"/>
      <c r="M36" s="115"/>
      <c r="N36" s="115"/>
      <c r="O36" s="44"/>
    </row>
    <row r="37" spans="1:15" ht="24.6">
      <c r="A37" s="1" t="s">
        <v>0</v>
      </c>
      <c r="B37" s="23" t="s">
        <v>31</v>
      </c>
      <c r="C37" s="19"/>
      <c r="D37" s="19"/>
      <c r="E37" s="19"/>
      <c r="F37" s="19"/>
      <c r="G37" s="5" t="s">
        <v>160</v>
      </c>
      <c r="H37" s="115">
        <f>สรุป_Consumption!H38*24*'Ref.EF'!E157*'Ref.EF'!E149*'Ref.EF'!E151*25/1000/1000</f>
        <v>13.510200000000001</v>
      </c>
      <c r="I37" s="115">
        <f>สรุป_Consumption!I38*24*'Ref.EF'!E157*'Ref.EF'!E149*'Ref.EF'!E151*25/1000/1000</f>
        <v>13.1097</v>
      </c>
      <c r="J37" s="115"/>
      <c r="K37" s="115"/>
      <c r="L37" s="115"/>
      <c r="M37" s="115"/>
      <c r="N37" s="115"/>
      <c r="O37" s="44"/>
    </row>
    <row r="38" spans="1:15" ht="24.6">
      <c r="A38" s="1" t="s">
        <v>0</v>
      </c>
      <c r="B38" s="23" t="s">
        <v>32</v>
      </c>
      <c r="C38" s="19"/>
      <c r="D38" s="19"/>
      <c r="E38" s="19"/>
      <c r="F38" s="19"/>
      <c r="G38" s="5" t="s">
        <v>160</v>
      </c>
      <c r="H38" s="115">
        <f>สรุป_Consumption!H39*8*'Ref.EF'!E157*'Ref.EF'!E149*'Ref.EF'!E151*25/1000/1000</f>
        <v>133.54480000000001</v>
      </c>
      <c r="I38" s="115">
        <f>สรุป_Consumption!I39*8*'Ref.EF'!E157*'Ref.EF'!E149*'Ref.EF'!E151*25/1000/1000</f>
        <v>143.79850000000002</v>
      </c>
      <c r="J38" s="115"/>
      <c r="K38" s="115"/>
      <c r="L38" s="115"/>
      <c r="M38" s="115"/>
      <c r="N38" s="115"/>
      <c r="O38" s="44"/>
    </row>
    <row r="39" spans="1:15" ht="24.6">
      <c r="A39" s="1" t="s">
        <v>0</v>
      </c>
      <c r="B39" s="23" t="s">
        <v>58</v>
      </c>
      <c r="C39" s="19"/>
      <c r="D39" s="19"/>
      <c r="E39" s="19"/>
      <c r="F39" s="19"/>
      <c r="G39" s="5" t="s">
        <v>160</v>
      </c>
      <c r="H39" s="99"/>
      <c r="I39" s="99"/>
      <c r="J39" s="99"/>
      <c r="K39" s="99"/>
      <c r="L39" s="99"/>
      <c r="M39" s="99"/>
      <c r="N39" s="99"/>
      <c r="O39" s="44"/>
    </row>
    <row r="40" spans="1:15" ht="24.6">
      <c r="A40" s="1" t="s">
        <v>0</v>
      </c>
      <c r="B40" s="23" t="s">
        <v>33</v>
      </c>
      <c r="C40" s="19"/>
      <c r="D40" s="19"/>
      <c r="E40" s="19"/>
      <c r="F40" s="19"/>
      <c r="G40" s="5" t="s">
        <v>160</v>
      </c>
      <c r="H40" s="3">
        <f>สรุป_Consumption!H41*0.8*'Ref.EF'!E155*'Ref.EF'!E149*'Ref.EF'!E151*25/1000</f>
        <v>2434.2201300000002</v>
      </c>
      <c r="I40" s="3">
        <f>สรุป_Consumption!I41*0.8*'Ref.EF'!E155*'Ref.EF'!E149*'Ref.EF'!E151*25/1000</f>
        <v>2233.0657800000004</v>
      </c>
      <c r="J40" s="3">
        <f>สรุป_Consumption!J41*0.8*'Ref.EF'!E155*'Ref.EF'!E149*'Ref.EF'!E151*25/1000</f>
        <v>2027.6575680000005</v>
      </c>
      <c r="K40" s="3">
        <f>สรุป_Consumption!K41*0.8*'Ref.EF'!E155*'Ref.EF'!E149*'Ref.EF'!E151*25/1000</f>
        <v>2244.2819880000006</v>
      </c>
      <c r="L40" s="3">
        <f>สรุป_Consumption!L41*0.8*'Ref.EF'!E155*'Ref.EF'!E149*'Ref.EF'!E151*25/1000</f>
        <v>2068.4238359999999</v>
      </c>
      <c r="M40" s="3">
        <f>สรุป_Consumption!M41*0.8*'Ref.EF'!E155*'Ref.EF'!E149*'Ref.EF'!E151*25/1000</f>
        <v>1599.4998960000003</v>
      </c>
      <c r="N40" s="3">
        <f>สรุป_Consumption!N41*0.8*'Ref.EF'!E155*'Ref.EF'!E149*'Ref.EF'!E151*25/1000</f>
        <v>2232.8713860000003</v>
      </c>
      <c r="O40" s="44"/>
    </row>
    <row r="41" spans="1:15" ht="24.6">
      <c r="A41" s="1" t="s">
        <v>0</v>
      </c>
      <c r="B41" s="23" t="s">
        <v>34</v>
      </c>
      <c r="C41" s="19"/>
      <c r="D41" s="19"/>
      <c r="E41" s="19"/>
      <c r="F41" s="19"/>
      <c r="G41" s="5" t="s">
        <v>160</v>
      </c>
      <c r="H41" s="3">
        <f>สรุป_Consumption!H42/1000*'Ref.EF'!G108/1000</f>
        <v>647.98835400000007</v>
      </c>
      <c r="I41" s="3">
        <f>สรุป_Consumption!I42/1000*'Ref.EF'!G108/1000</f>
        <v>797.40284999999994</v>
      </c>
      <c r="J41" s="3">
        <f>สรุป_Consumption!J42/1000*'Ref.EF'!G108/1000</f>
        <v>782.04097000000002</v>
      </c>
      <c r="K41" s="3">
        <f>สรุป_Consumption!K42/1000*'Ref.EF'!G108/1000</f>
        <v>577.28651407999996</v>
      </c>
      <c r="L41" s="3">
        <f>สรุป_Consumption!L42/1000*'Ref.EF'!G108/1000</f>
        <v>541.74316636000003</v>
      </c>
      <c r="M41" s="3">
        <f>สรุป_Consumption!M42/1000*'Ref.EF'!G108/1000</f>
        <v>615.05975995999995</v>
      </c>
      <c r="N41" s="3">
        <f>สรุป_Consumption!N42/1000*'Ref.EF'!G108/1000</f>
        <v>674.80615388000001</v>
      </c>
      <c r="O41" s="44"/>
    </row>
    <row r="42" spans="1:15" ht="24.6">
      <c r="A42" s="1" t="s">
        <v>0</v>
      </c>
      <c r="B42" s="23" t="s">
        <v>35</v>
      </c>
      <c r="C42" s="19"/>
      <c r="D42" s="19"/>
      <c r="E42" s="19"/>
      <c r="F42" s="19"/>
      <c r="G42" s="5" t="s">
        <v>160</v>
      </c>
      <c r="H42" s="3">
        <f>สรุป_Consumption!H43/1000*'Ref.EF'!G114</f>
        <v>4241.9110637599997</v>
      </c>
      <c r="I42" s="3">
        <f>สรุป_Consumption!I43/1000*'Ref.EF'!G114</f>
        <v>13210.8552</v>
      </c>
      <c r="J42" s="3">
        <f>สรุป_Consumption!J43/1000*'Ref.EF'!G114</f>
        <v>7642.7658439999996</v>
      </c>
      <c r="K42" s="3">
        <f>สรุป_Consumption!K43/1000*'Ref.EF'!G114</f>
        <v>7463.7599999999993</v>
      </c>
      <c r="L42" s="3">
        <f>สรุป_Consumption!L43/1000*'Ref.EF'!G114</f>
        <v>6526.4361399999998</v>
      </c>
      <c r="M42" s="3">
        <f>สรุป_Consumption!M43/1000*'Ref.EF'!G114</f>
        <v>7135.2455891039999</v>
      </c>
      <c r="N42" s="3">
        <f>สรุป_Consumption!N43/1000*'Ref.EF'!G114</f>
        <v>6712.7465171199992</v>
      </c>
      <c r="O42" s="44"/>
    </row>
    <row r="43" spans="1:15" ht="24.6">
      <c r="A43" s="1" t="s">
        <v>0</v>
      </c>
      <c r="B43" s="23" t="s">
        <v>36</v>
      </c>
      <c r="C43" s="19"/>
      <c r="D43" s="19"/>
      <c r="E43" s="19"/>
      <c r="F43" s="19"/>
      <c r="G43" s="5" t="s">
        <v>160</v>
      </c>
      <c r="H43" s="99"/>
      <c r="I43" s="99"/>
      <c r="J43" s="99"/>
      <c r="K43" s="99"/>
      <c r="L43" s="99"/>
      <c r="M43" s="99"/>
      <c r="N43" s="99"/>
      <c r="O43" s="44"/>
    </row>
    <row r="44" spans="1:15" ht="24.6">
      <c r="A44" s="31" t="s">
        <v>0</v>
      </c>
      <c r="B44" s="23" t="s">
        <v>37</v>
      </c>
      <c r="C44" s="19"/>
      <c r="D44" s="19"/>
      <c r="E44" s="19"/>
      <c r="F44" s="19"/>
      <c r="G44" s="5" t="s">
        <v>160</v>
      </c>
      <c r="H44" s="3">
        <f>สรุป_Consumption!H45/1000*'Ref.EF'!G114</f>
        <v>4258.6149586399997</v>
      </c>
      <c r="I44" s="3">
        <f>สรุป_Consumption!I45/1000*'Ref.EF'!G114</f>
        <v>13210.8552</v>
      </c>
      <c r="J44" s="3">
        <f>สรุป_Consumption!J45/1000*'Ref.EF'!G114</f>
        <v>6058.5827839999993</v>
      </c>
      <c r="K44" s="3">
        <f>สรุป_Consumption!K45/1000*'Ref.EF'!G114</f>
        <v>1231.5203999999999</v>
      </c>
      <c r="L44" s="3">
        <f>สรุป_Consumption!L45/1000*'Ref.EF'!G114</f>
        <v>652.64361399999996</v>
      </c>
      <c r="M44" s="3">
        <f>สรุป_Consumption!M45/1000*'Ref.EF'!G114</f>
        <v>803.59816000000001</v>
      </c>
      <c r="N44" s="3">
        <f>สรุป_Consumption!N45/1000*'Ref.EF'!G114</f>
        <v>782.84890719999999</v>
      </c>
      <c r="O44" s="44"/>
    </row>
    <row r="45" spans="1:15" ht="25.2" thickBot="1">
      <c r="A45" s="219" t="s">
        <v>38</v>
      </c>
      <c r="B45" s="220"/>
      <c r="C45" s="220"/>
      <c r="D45" s="220"/>
      <c r="E45" s="220"/>
      <c r="F45" s="220"/>
      <c r="G45" s="32"/>
      <c r="H45" s="33"/>
      <c r="I45" s="33"/>
      <c r="J45" s="33"/>
      <c r="K45" s="33"/>
      <c r="L45" s="33"/>
      <c r="M45" s="33"/>
      <c r="N45" s="33"/>
      <c r="O45" s="34"/>
    </row>
    <row r="46" spans="1:15" ht="24.6">
      <c r="A46" s="1" t="s">
        <v>0</v>
      </c>
      <c r="B46" s="21" t="s">
        <v>39</v>
      </c>
      <c r="C46" s="16"/>
      <c r="D46" s="16"/>
      <c r="E46" s="16"/>
      <c r="F46" s="16"/>
      <c r="G46" s="5" t="s">
        <v>160</v>
      </c>
      <c r="H46" s="20">
        <f>สรุป_Consumption!H47/1000*'Ref.EF'!G131</f>
        <v>37791.240240000006</v>
      </c>
      <c r="I46" s="20">
        <f>สรุป_Consumption!I47/1000*'Ref.EF'!G131</f>
        <v>37176.163280000001</v>
      </c>
      <c r="J46" s="20">
        <f>สรุป_Consumption!J47/1000*'Ref.EF'!G131</f>
        <v>36876.323259999997</v>
      </c>
      <c r="K46" s="20">
        <f>สรุป_Consumption!K47/1000*'Ref.EF'!G131</f>
        <v>39278.742680000003</v>
      </c>
      <c r="L46" s="20">
        <f>สรุป_Consumption!L47/1000*'Ref.EF'!G131</f>
        <v>38356.927080000001</v>
      </c>
      <c r="M46" s="20">
        <f>สรุป_Consumption!M47/1000*'Ref.EF'!G131</f>
        <v>37604.27764</v>
      </c>
      <c r="N46" s="20">
        <f>สรุป_Consumption!N47/1000*'Ref.EF'!G131</f>
        <v>34131.852264000001</v>
      </c>
      <c r="O46" s="44"/>
    </row>
    <row r="47" spans="1:15" ht="24.6">
      <c r="A47" s="1" t="s">
        <v>0</v>
      </c>
      <c r="B47" s="23" t="s">
        <v>40</v>
      </c>
      <c r="C47" s="19"/>
      <c r="D47" s="19"/>
      <c r="E47" s="19"/>
      <c r="F47" s="19"/>
      <c r="G47" s="5" t="s">
        <v>160</v>
      </c>
      <c r="H47" s="20">
        <f>สรุป_Consumption!H48/1000*'Ref.EF'!G131</f>
        <v>1597.9803400000001</v>
      </c>
      <c r="I47" s="20">
        <f>สรุป_Consumption!I48/1000*'Ref.EF'!G131</f>
        <v>2347.5104040000001</v>
      </c>
      <c r="J47" s="20">
        <f>สรุป_Consumption!J48/1000*'Ref.EF'!G131</f>
        <v>2949.1700480000004</v>
      </c>
      <c r="K47" s="20">
        <f>สรุป_Consumption!K48/1000*'Ref.EF'!G131</f>
        <v>3023.8751040000002</v>
      </c>
      <c r="L47" s="20">
        <f>สรุป_Consumption!L48/1000*'Ref.EF'!G131</f>
        <v>2868.7861280000002</v>
      </c>
      <c r="M47" s="20">
        <f>สรุป_Consumption!M48/1000*'Ref.EF'!G131</f>
        <v>2650.3863167</v>
      </c>
      <c r="N47" s="20">
        <f>สรุป_Consumption!N48/1000*'Ref.EF'!G131</f>
        <v>2363.2072639999997</v>
      </c>
      <c r="O47" s="44"/>
    </row>
    <row r="48" spans="1:15" ht="24.6">
      <c r="A48" s="1" t="s">
        <v>0</v>
      </c>
      <c r="B48" s="23" t="s">
        <v>41</v>
      </c>
      <c r="C48" s="19"/>
      <c r="D48" s="19"/>
      <c r="E48" s="19"/>
      <c r="F48" s="19"/>
      <c r="G48" s="5" t="s">
        <v>160</v>
      </c>
      <c r="H48" s="99"/>
      <c r="I48" s="99"/>
      <c r="J48" s="99"/>
      <c r="K48" s="99"/>
      <c r="L48" s="99"/>
      <c r="M48" s="99"/>
      <c r="N48" s="99"/>
      <c r="O48" s="44"/>
    </row>
    <row r="49" spans="1:15" ht="24.6">
      <c r="A49" s="1" t="s">
        <v>0</v>
      </c>
      <c r="B49" s="23" t="s">
        <v>42</v>
      </c>
      <c r="C49" s="19"/>
      <c r="D49" s="19"/>
      <c r="E49" s="19"/>
      <c r="F49" s="19"/>
      <c r="G49" s="5" t="s">
        <v>160</v>
      </c>
      <c r="H49" s="99"/>
      <c r="I49" s="99"/>
      <c r="J49" s="99"/>
      <c r="K49" s="99"/>
      <c r="L49" s="99"/>
      <c r="M49" s="99"/>
      <c r="N49" s="99"/>
      <c r="O49" s="44"/>
    </row>
    <row r="50" spans="1:15" ht="24.6">
      <c r="A50" s="1" t="s">
        <v>0</v>
      </c>
      <c r="B50" s="23" t="s">
        <v>43</v>
      </c>
      <c r="C50" s="19"/>
      <c r="D50" s="19"/>
      <c r="E50" s="19"/>
      <c r="F50" s="19"/>
      <c r="G50" s="5" t="s">
        <v>160</v>
      </c>
      <c r="H50" s="99"/>
      <c r="I50" s="99"/>
      <c r="J50" s="99"/>
      <c r="K50" s="99"/>
      <c r="L50" s="99"/>
      <c r="M50" s="99"/>
      <c r="N50" s="99"/>
      <c r="O50" s="44"/>
    </row>
    <row r="51" spans="1:15" ht="47.25" customHeight="1" thickBot="1">
      <c r="A51" s="1" t="s">
        <v>0</v>
      </c>
      <c r="B51" s="214" t="s">
        <v>67</v>
      </c>
      <c r="C51" s="215"/>
      <c r="D51" s="215"/>
      <c r="E51" s="215"/>
      <c r="F51" s="216"/>
      <c r="G51" s="5" t="s">
        <v>160</v>
      </c>
      <c r="H51" s="99"/>
      <c r="I51" s="99"/>
      <c r="J51" s="99"/>
      <c r="K51" s="99"/>
      <c r="L51" s="99"/>
      <c r="M51" s="99"/>
      <c r="N51" s="99"/>
      <c r="O51" s="44"/>
    </row>
    <row r="52" spans="1:15" s="59" customFormat="1" ht="24.6">
      <c r="A52" s="53" t="s">
        <v>0</v>
      </c>
      <c r="B52" s="54" t="s">
        <v>98</v>
      </c>
      <c r="C52" s="55"/>
      <c r="D52" s="55"/>
      <c r="E52" s="55"/>
      <c r="F52" s="55" t="s">
        <v>99</v>
      </c>
      <c r="G52" s="5" t="s">
        <v>160</v>
      </c>
      <c r="H52" s="20">
        <f>-สรุป_Consumption!H53/1000*'Ref.EF'!$G$131</f>
        <v>-24.047959446000004</v>
      </c>
      <c r="I52" s="20">
        <f>-สรุป_Consumption!I53/1000*'Ref.EF'!$G$131</f>
        <v>-24.047959446000004</v>
      </c>
      <c r="J52" s="20">
        <f>-สรุป_Consumption!J53/1000*'Ref.EF'!$G$131</f>
        <v>-24.047959446000004</v>
      </c>
      <c r="K52" s="168"/>
      <c r="L52" s="168"/>
      <c r="M52" s="168"/>
      <c r="N52" s="168"/>
      <c r="O52" s="58"/>
    </row>
    <row r="53" spans="1:15" s="59" customFormat="1" ht="24.6">
      <c r="A53" s="53" t="s">
        <v>0</v>
      </c>
      <c r="B53" s="54" t="s">
        <v>100</v>
      </c>
      <c r="C53" s="55"/>
      <c r="D53" s="55"/>
      <c r="E53" s="55"/>
      <c r="F53" s="55" t="s">
        <v>101</v>
      </c>
      <c r="G53" s="5" t="s">
        <v>160</v>
      </c>
      <c r="H53" s="20">
        <f>-สรุป_Consumption!H54/1000*'Ref.EF'!$G$131</f>
        <v>-19.371967331500002</v>
      </c>
      <c r="I53" s="20">
        <f>-สรุป_Consumption!I54/1000*'Ref.EF'!$G$131</f>
        <v>-19.371967331500002</v>
      </c>
      <c r="J53" s="20">
        <f>-สรุป_Consumption!J54/1000*'Ref.EF'!$G$131</f>
        <v>-19.371967331500002</v>
      </c>
      <c r="K53" s="168"/>
      <c r="L53" s="168"/>
      <c r="M53" s="168"/>
      <c r="N53" s="168"/>
      <c r="O53" s="58"/>
    </row>
    <row r="54" spans="1:15" s="59" customFormat="1" ht="24.6">
      <c r="A54" s="60" t="s">
        <v>0</v>
      </c>
      <c r="B54" s="54" t="s">
        <v>102</v>
      </c>
      <c r="C54" s="55"/>
      <c r="D54" s="55"/>
      <c r="E54" s="55"/>
      <c r="F54" s="160" t="s">
        <v>241</v>
      </c>
      <c r="G54" s="5" t="s">
        <v>160</v>
      </c>
      <c r="H54" s="20">
        <f>-สรุป_Consumption!H55/1000*'Ref.EF'!$G$131</f>
        <v>-41.415930157000005</v>
      </c>
      <c r="I54" s="20">
        <f>-สรุป_Consumption!I55/1000*'Ref.EF'!$G$131</f>
        <v>-41.415930157000005</v>
      </c>
      <c r="J54" s="20">
        <f>-สรุป_Consumption!J55/1000*'Ref.EF'!$G$131</f>
        <v>-53.439909880000002</v>
      </c>
      <c r="K54" s="168"/>
      <c r="L54" s="168"/>
      <c r="M54" s="168"/>
      <c r="N54" s="168"/>
      <c r="O54" s="58"/>
    </row>
    <row r="55" spans="1:15" s="59" customFormat="1" ht="24.6">
      <c r="A55" s="156"/>
      <c r="B55" s="54" t="s">
        <v>242</v>
      </c>
      <c r="C55" s="55"/>
      <c r="D55" s="55"/>
      <c r="E55" s="55"/>
      <c r="F55" s="160" t="s">
        <v>243</v>
      </c>
      <c r="G55" s="5" t="s">
        <v>160</v>
      </c>
      <c r="H55" s="20">
        <f>-สรุป_Consumption!H56/1000*'Ref.EF'!$G$131</f>
        <v>0</v>
      </c>
      <c r="I55" s="20">
        <f>-สรุป_Consumption!I56/1000*'Ref.EF'!$G$131</f>
        <v>0</v>
      </c>
      <c r="J55" s="20">
        <f>-สรุป_Consumption!J56/1000*'Ref.EF'!$G$131</f>
        <v>-81.228663017600013</v>
      </c>
      <c r="K55" s="169"/>
      <c r="L55" s="169"/>
      <c r="M55" s="169"/>
      <c r="N55" s="169"/>
      <c r="O55" s="158"/>
    </row>
    <row r="56" spans="1:15" s="59" customFormat="1" ht="25.2" thickBot="1">
      <c r="A56" s="156"/>
      <c r="B56" s="157" t="s">
        <v>244</v>
      </c>
      <c r="C56" s="157"/>
      <c r="D56" s="157"/>
      <c r="E56" s="157"/>
      <c r="F56" s="161" t="s">
        <v>245</v>
      </c>
      <c r="G56" s="5" t="s">
        <v>160</v>
      </c>
      <c r="H56" s="20">
        <f>-สรุป_Consumption!H57/1000*'Ref.EF'!$G$131</f>
        <v>0</v>
      </c>
      <c r="I56" s="20">
        <f>-สรุป_Consumption!I57/1000*'Ref.EF'!$G$131</f>
        <v>0</v>
      </c>
      <c r="J56" s="20">
        <f>-สรุป_Consumption!J57/1000*'Ref.EF'!$G$131</f>
        <v>-26.719954940000001</v>
      </c>
      <c r="K56" s="169"/>
      <c r="L56" s="169"/>
      <c r="M56" s="169"/>
      <c r="N56" s="169"/>
      <c r="O56" s="158"/>
    </row>
    <row r="57" spans="1:15" ht="25.2" thickBot="1">
      <c r="A57" s="212" t="s">
        <v>44</v>
      </c>
      <c r="B57" s="213"/>
      <c r="C57" s="213"/>
      <c r="D57" s="213"/>
      <c r="E57" s="213"/>
      <c r="F57" s="213"/>
      <c r="G57" s="5" t="s">
        <v>160</v>
      </c>
      <c r="H57" s="100"/>
      <c r="I57" s="100"/>
      <c r="J57" s="100"/>
      <c r="K57" s="100"/>
      <c r="L57" s="100"/>
      <c r="M57" s="100"/>
      <c r="N57" s="100"/>
      <c r="O57" s="34"/>
    </row>
    <row r="58" spans="1:15" ht="24.6">
      <c r="A58" s="1" t="s">
        <v>0</v>
      </c>
      <c r="B58" s="21" t="s">
        <v>48</v>
      </c>
      <c r="C58" s="16"/>
      <c r="D58" s="16"/>
      <c r="E58" s="16"/>
      <c r="F58" s="16"/>
      <c r="G58" s="5" t="s">
        <v>160</v>
      </c>
      <c r="H58" s="116"/>
      <c r="I58" s="116"/>
      <c r="J58" s="116"/>
      <c r="K58" s="116"/>
      <c r="L58" s="116"/>
      <c r="M58" s="116"/>
      <c r="N58" s="116"/>
      <c r="O58" s="42"/>
    </row>
    <row r="59" spans="1:15" ht="24.6">
      <c r="A59" s="1"/>
      <c r="B59" s="35" t="s">
        <v>0</v>
      </c>
      <c r="C59" s="19" t="s">
        <v>45</v>
      </c>
      <c r="D59" s="19"/>
      <c r="E59" s="19"/>
      <c r="F59" s="19"/>
      <c r="G59" s="2" t="s">
        <v>91</v>
      </c>
      <c r="H59" s="99"/>
      <c r="I59" s="99"/>
      <c r="J59" s="116"/>
      <c r="K59" s="116"/>
      <c r="L59" s="116"/>
      <c r="M59" s="116"/>
      <c r="N59" s="116"/>
      <c r="O59" s="42"/>
    </row>
    <row r="60" spans="1:15" ht="24.6">
      <c r="A60" s="1"/>
      <c r="B60" s="35" t="s">
        <v>0</v>
      </c>
      <c r="C60" s="19" t="s">
        <v>46</v>
      </c>
      <c r="D60" s="19"/>
      <c r="E60" s="19"/>
      <c r="F60" s="19"/>
      <c r="G60" s="2" t="s">
        <v>90</v>
      </c>
      <c r="H60" s="99"/>
      <c r="I60" s="99"/>
      <c r="J60" s="116"/>
      <c r="K60" s="116"/>
      <c r="L60" s="116"/>
      <c r="M60" s="116"/>
      <c r="N60" s="116"/>
      <c r="O60" s="43"/>
    </row>
    <row r="61" spans="1:15" ht="24.6">
      <c r="A61" s="1"/>
      <c r="B61" s="35" t="s">
        <v>0</v>
      </c>
      <c r="C61" s="19" t="s">
        <v>47</v>
      </c>
      <c r="D61" s="19"/>
      <c r="E61" s="19"/>
      <c r="F61" s="19"/>
      <c r="G61" s="2" t="s">
        <v>89</v>
      </c>
      <c r="H61" s="99"/>
      <c r="I61" s="99"/>
      <c r="J61" s="116"/>
      <c r="K61" s="116"/>
      <c r="L61" s="116"/>
      <c r="M61" s="116"/>
      <c r="N61" s="116"/>
      <c r="O61" s="42"/>
    </row>
    <row r="62" spans="1:15" ht="24.6">
      <c r="A62" s="1"/>
      <c r="B62" s="35" t="s">
        <v>0</v>
      </c>
      <c r="C62" s="19" t="s">
        <v>50</v>
      </c>
      <c r="D62" s="19"/>
      <c r="E62" s="19"/>
      <c r="F62" s="19"/>
      <c r="G62" s="2" t="s">
        <v>93</v>
      </c>
      <c r="H62" s="99"/>
      <c r="I62" s="99"/>
      <c r="J62" s="116"/>
      <c r="K62" s="116"/>
      <c r="L62" s="116"/>
      <c r="M62" s="116"/>
      <c r="N62" s="116"/>
      <c r="O62" s="42"/>
    </row>
    <row r="63" spans="1:15" ht="24.6">
      <c r="A63" s="1" t="s">
        <v>0</v>
      </c>
      <c r="B63" s="23" t="s">
        <v>49</v>
      </c>
      <c r="C63" s="19"/>
      <c r="D63" s="19"/>
      <c r="E63" s="19"/>
      <c r="F63" s="19"/>
      <c r="G63" s="5" t="s">
        <v>160</v>
      </c>
      <c r="H63" s="99"/>
      <c r="I63" s="99"/>
      <c r="J63" s="99"/>
      <c r="K63" s="99"/>
      <c r="L63" s="99"/>
      <c r="M63" s="99"/>
      <c r="N63" s="99"/>
      <c r="O63" s="45"/>
    </row>
    <row r="64" spans="1:15" ht="24.6">
      <c r="A64" s="1"/>
      <c r="B64" s="35" t="s">
        <v>0</v>
      </c>
      <c r="C64" s="19" t="s">
        <v>45</v>
      </c>
      <c r="D64" s="19"/>
      <c r="E64" s="19"/>
      <c r="F64" s="19"/>
      <c r="G64" s="2" t="s">
        <v>91</v>
      </c>
      <c r="H64" s="99"/>
      <c r="I64" s="99"/>
      <c r="J64" s="99"/>
      <c r="K64" s="99"/>
      <c r="L64" s="99"/>
      <c r="M64" s="99"/>
      <c r="N64" s="99"/>
      <c r="O64" s="44"/>
    </row>
    <row r="65" spans="1:15" ht="24.6">
      <c r="A65" s="1"/>
      <c r="B65" s="35" t="s">
        <v>0</v>
      </c>
      <c r="C65" s="19" t="s">
        <v>46</v>
      </c>
      <c r="D65" s="19"/>
      <c r="E65" s="19"/>
      <c r="F65" s="19"/>
      <c r="G65" s="2" t="s">
        <v>90</v>
      </c>
      <c r="H65" s="99"/>
      <c r="I65" s="99"/>
      <c r="J65" s="99"/>
      <c r="K65" s="99"/>
      <c r="L65" s="99"/>
      <c r="M65" s="99"/>
      <c r="N65" s="99"/>
      <c r="O65" s="45"/>
    </row>
    <row r="66" spans="1:15" ht="24.6">
      <c r="A66" s="1"/>
      <c r="B66" s="35" t="s">
        <v>0</v>
      </c>
      <c r="C66" s="19" t="s">
        <v>47</v>
      </c>
      <c r="D66" s="19"/>
      <c r="E66" s="19"/>
      <c r="F66" s="19"/>
      <c r="G66" s="2" t="s">
        <v>89</v>
      </c>
      <c r="H66" s="99"/>
      <c r="I66" s="99"/>
      <c r="J66" s="99"/>
      <c r="K66" s="99"/>
      <c r="L66" s="99"/>
      <c r="M66" s="99"/>
      <c r="N66" s="99"/>
      <c r="O66" s="45"/>
    </row>
    <row r="67" spans="1:15" ht="24.6">
      <c r="A67" s="1" t="s">
        <v>0</v>
      </c>
      <c r="B67" s="23" t="s">
        <v>52</v>
      </c>
      <c r="C67" s="19"/>
      <c r="D67" s="19"/>
      <c r="E67" s="19"/>
      <c r="F67" s="19"/>
      <c r="G67" s="5" t="s">
        <v>160</v>
      </c>
      <c r="H67" s="3"/>
      <c r="I67" s="3"/>
      <c r="J67" s="3"/>
      <c r="K67" s="3"/>
      <c r="L67" s="3"/>
      <c r="M67" s="3"/>
      <c r="N67" s="3"/>
      <c r="O67" s="44"/>
    </row>
    <row r="68" spans="1:15" ht="24.6">
      <c r="A68" s="1"/>
      <c r="B68" s="35" t="s">
        <v>0</v>
      </c>
      <c r="C68" s="19" t="s">
        <v>45</v>
      </c>
      <c r="D68" s="19"/>
      <c r="E68" s="19"/>
      <c r="F68" s="19"/>
      <c r="G68" s="2" t="s">
        <v>91</v>
      </c>
      <c r="H68" s="99"/>
      <c r="I68" s="99"/>
      <c r="J68" s="99"/>
      <c r="K68" s="99"/>
      <c r="L68" s="99"/>
      <c r="M68" s="99"/>
      <c r="N68" s="99"/>
      <c r="O68" s="44"/>
    </row>
    <row r="69" spans="1:15" ht="24.6">
      <c r="A69" s="1"/>
      <c r="B69" s="35" t="s">
        <v>0</v>
      </c>
      <c r="C69" s="19" t="s">
        <v>46</v>
      </c>
      <c r="D69" s="19"/>
      <c r="E69" s="19"/>
      <c r="F69" s="19"/>
      <c r="G69" s="2" t="s">
        <v>90</v>
      </c>
      <c r="H69" s="99"/>
      <c r="I69" s="99"/>
      <c r="J69" s="99"/>
      <c r="K69" s="99"/>
      <c r="L69" s="99"/>
      <c r="M69" s="99"/>
      <c r="N69" s="99"/>
      <c r="O69" s="44"/>
    </row>
    <row r="70" spans="1:15" ht="24.6">
      <c r="A70" s="1"/>
      <c r="B70" s="35" t="s">
        <v>0</v>
      </c>
      <c r="C70" s="19" t="s">
        <v>47</v>
      </c>
      <c r="D70" s="19"/>
      <c r="E70" s="19"/>
      <c r="F70" s="19"/>
      <c r="G70" s="2" t="s">
        <v>89</v>
      </c>
      <c r="H70" s="99"/>
      <c r="I70" s="99"/>
      <c r="J70" s="99"/>
      <c r="K70" s="99"/>
      <c r="L70" s="99"/>
      <c r="M70" s="99"/>
      <c r="N70" s="99"/>
      <c r="O70" s="44"/>
    </row>
    <row r="71" spans="1:15" ht="24.6">
      <c r="A71" s="1"/>
      <c r="B71" s="35" t="s">
        <v>0</v>
      </c>
      <c r="C71" s="19" t="s">
        <v>51</v>
      </c>
      <c r="D71" s="19"/>
      <c r="E71" s="19"/>
      <c r="F71" s="19"/>
      <c r="G71" s="2" t="s">
        <v>93</v>
      </c>
      <c r="H71" s="99"/>
      <c r="I71" s="99"/>
      <c r="J71" s="99"/>
      <c r="K71" s="99"/>
      <c r="L71" s="99"/>
      <c r="M71" s="99"/>
      <c r="N71" s="99"/>
      <c r="O71" s="44"/>
    </row>
    <row r="72" spans="1:15" ht="24.6">
      <c r="A72" s="1" t="s">
        <v>0</v>
      </c>
      <c r="B72" s="23" t="s">
        <v>53</v>
      </c>
      <c r="C72" s="19"/>
      <c r="D72" s="19"/>
      <c r="E72" s="19"/>
      <c r="F72" s="19"/>
      <c r="G72" s="5" t="s">
        <v>160</v>
      </c>
      <c r="H72" s="3"/>
      <c r="I72" s="3"/>
      <c r="J72" s="3"/>
      <c r="K72" s="3"/>
      <c r="L72" s="3"/>
      <c r="M72" s="3"/>
      <c r="N72" s="3"/>
      <c r="O72" s="44"/>
    </row>
    <row r="73" spans="1:15" ht="24.6">
      <c r="A73" s="1"/>
      <c r="B73" s="35" t="s">
        <v>0</v>
      </c>
      <c r="C73" s="19" t="s">
        <v>45</v>
      </c>
      <c r="D73" s="19"/>
      <c r="E73" s="19"/>
      <c r="F73" s="19"/>
      <c r="G73" s="2" t="s">
        <v>91</v>
      </c>
      <c r="H73" s="99"/>
      <c r="I73" s="99"/>
      <c r="J73" s="99"/>
      <c r="K73" s="99"/>
      <c r="L73" s="99"/>
      <c r="M73" s="99"/>
      <c r="N73" s="99"/>
      <c r="O73" s="44"/>
    </row>
    <row r="74" spans="1:15" ht="24.6">
      <c r="A74" s="1"/>
      <c r="B74" s="35" t="s">
        <v>0</v>
      </c>
      <c r="C74" s="19" t="s">
        <v>46</v>
      </c>
      <c r="D74" s="19"/>
      <c r="E74" s="19"/>
      <c r="F74" s="19"/>
      <c r="G74" s="2" t="s">
        <v>90</v>
      </c>
      <c r="H74" s="99"/>
      <c r="I74" s="99"/>
      <c r="J74" s="99"/>
      <c r="K74" s="99"/>
      <c r="L74" s="99"/>
      <c r="M74" s="99"/>
      <c r="N74" s="99"/>
      <c r="O74" s="45"/>
    </row>
    <row r="75" spans="1:15" ht="24.6">
      <c r="A75" s="1"/>
      <c r="B75" s="35" t="s">
        <v>0</v>
      </c>
      <c r="C75" s="26" t="s">
        <v>47</v>
      </c>
      <c r="D75" s="26"/>
      <c r="E75" s="26"/>
      <c r="F75" s="26"/>
      <c r="G75" s="2" t="s">
        <v>89</v>
      </c>
      <c r="H75" s="99"/>
      <c r="I75" s="99"/>
      <c r="J75" s="99"/>
      <c r="K75" s="99"/>
      <c r="L75" s="99"/>
      <c r="M75" s="99"/>
      <c r="N75" s="99"/>
      <c r="O75" s="44"/>
    </row>
    <row r="76" spans="1:15" ht="24.6">
      <c r="A76" s="1" t="s">
        <v>0</v>
      </c>
      <c r="B76" s="23" t="s">
        <v>76</v>
      </c>
      <c r="C76" s="19"/>
      <c r="D76" s="19"/>
      <c r="E76" s="19"/>
      <c r="F76" s="19"/>
      <c r="G76" s="5" t="s">
        <v>104</v>
      </c>
      <c r="H76" s="3"/>
      <c r="I76" s="3"/>
      <c r="J76" s="3"/>
      <c r="K76" s="3"/>
      <c r="L76" s="3"/>
      <c r="M76" s="3"/>
      <c r="N76" s="3"/>
      <c r="O76" s="44"/>
    </row>
    <row r="77" spans="1:15" ht="24.6">
      <c r="A77" s="1"/>
      <c r="B77" s="35" t="s">
        <v>0</v>
      </c>
      <c r="C77" s="19" t="s">
        <v>45</v>
      </c>
      <c r="D77" s="19"/>
      <c r="E77" s="19"/>
      <c r="F77" s="19"/>
      <c r="G77" s="2" t="s">
        <v>91</v>
      </c>
      <c r="H77" s="99"/>
      <c r="I77" s="99"/>
      <c r="J77" s="99"/>
      <c r="K77" s="99"/>
      <c r="L77" s="99"/>
      <c r="M77" s="99"/>
      <c r="N77" s="99"/>
      <c r="O77" s="44"/>
    </row>
    <row r="78" spans="1:15" ht="24.6">
      <c r="A78" s="1"/>
      <c r="B78" s="35" t="s">
        <v>0</v>
      </c>
      <c r="C78" s="19" t="s">
        <v>46</v>
      </c>
      <c r="D78" s="19"/>
      <c r="E78" s="19"/>
      <c r="F78" s="19"/>
      <c r="G78" s="2" t="s">
        <v>90</v>
      </c>
      <c r="H78" s="99"/>
      <c r="I78" s="99"/>
      <c r="J78" s="99"/>
      <c r="K78" s="99"/>
      <c r="L78" s="99"/>
      <c r="M78" s="99"/>
      <c r="N78" s="99"/>
      <c r="O78" s="45"/>
    </row>
    <row r="79" spans="1:15" ht="25.2" thickBot="1">
      <c r="A79" s="1"/>
      <c r="B79" s="35" t="s">
        <v>0</v>
      </c>
      <c r="C79" s="26" t="s">
        <v>47</v>
      </c>
      <c r="D79" s="26"/>
      <c r="E79" s="26"/>
      <c r="F79" s="26"/>
      <c r="G79" s="2" t="s">
        <v>89</v>
      </c>
      <c r="H79" s="117"/>
      <c r="I79" s="99"/>
      <c r="J79" s="99"/>
      <c r="K79" s="99"/>
      <c r="L79" s="99"/>
      <c r="M79" s="99"/>
      <c r="N79" s="99"/>
      <c r="O79" s="44"/>
    </row>
    <row r="80" spans="1:15" ht="25.2" thickBot="1">
      <c r="A80" s="212" t="s">
        <v>54</v>
      </c>
      <c r="B80" s="213"/>
      <c r="C80" s="213"/>
      <c r="D80" s="213"/>
      <c r="E80" s="213"/>
      <c r="F80" s="213"/>
      <c r="G80" s="28"/>
      <c r="H80" s="29"/>
      <c r="I80" s="29"/>
      <c r="J80" s="29"/>
      <c r="K80" s="29"/>
      <c r="L80" s="29"/>
      <c r="M80" s="29"/>
      <c r="N80" s="29"/>
      <c r="O80" s="30"/>
    </row>
    <row r="81" spans="1:15" ht="24.6">
      <c r="A81" s="1" t="s">
        <v>0</v>
      </c>
      <c r="B81" s="21" t="s">
        <v>55</v>
      </c>
      <c r="C81" s="16"/>
      <c r="D81" s="16"/>
      <c r="E81" s="16"/>
      <c r="F81" s="16"/>
      <c r="G81" s="5" t="s">
        <v>160</v>
      </c>
      <c r="H81" s="116"/>
      <c r="I81" s="116"/>
      <c r="J81" s="116"/>
      <c r="K81" s="116"/>
      <c r="L81" s="116"/>
      <c r="M81" s="116"/>
      <c r="N81" s="116"/>
      <c r="O81" s="42"/>
    </row>
    <row r="82" spans="1:15" ht="24.6">
      <c r="A82" s="1" t="s">
        <v>0</v>
      </c>
      <c r="B82" s="23" t="s">
        <v>56</v>
      </c>
      <c r="C82" s="19"/>
      <c r="D82" s="19"/>
      <c r="E82" s="19"/>
      <c r="F82" s="19"/>
      <c r="G82" s="5" t="s">
        <v>160</v>
      </c>
      <c r="H82" s="99"/>
      <c r="I82" s="99"/>
      <c r="J82" s="116"/>
      <c r="K82" s="116"/>
      <c r="L82" s="116"/>
      <c r="M82" s="116"/>
      <c r="N82" s="116"/>
      <c r="O82" s="42"/>
    </row>
    <row r="83" spans="1:15" ht="25.2" thickBot="1">
      <c r="A83" s="8" t="s">
        <v>0</v>
      </c>
      <c r="B83" s="36" t="s">
        <v>57</v>
      </c>
      <c r="C83" s="37"/>
      <c r="D83" s="37"/>
      <c r="E83" s="37"/>
      <c r="F83" s="37"/>
      <c r="G83" s="5" t="s">
        <v>160</v>
      </c>
      <c r="H83" s="117"/>
      <c r="I83" s="117"/>
      <c r="J83" s="117"/>
      <c r="K83" s="117"/>
      <c r="L83" s="117"/>
      <c r="M83" s="117"/>
      <c r="N83" s="117"/>
      <c r="O83" s="46"/>
    </row>
    <row r="84" spans="1:15" s="118" customFormat="1" ht="24.6">
      <c r="F84" s="118" t="s">
        <v>110</v>
      </c>
      <c r="G84" s="5" t="s">
        <v>160</v>
      </c>
      <c r="H84" s="119">
        <f>SUM(H6:H7,H14:H15,H22,H24,H27:H28,H40:H42,H46,H67,H72,H76)</f>
        <v>51518.935374923312</v>
      </c>
      <c r="I84" s="119">
        <f>SUM(I6:I7,I14:I15,I22,I24,I27:I28,I40:I42,I46,I67,I72,I76)</f>
        <v>57418.286163025361</v>
      </c>
      <c r="J84" s="119"/>
      <c r="K84" s="119"/>
      <c r="L84" s="119"/>
      <c r="M84" s="119"/>
      <c r="N84" s="119"/>
      <c r="O84" s="120">
        <f>(H84-I84)/H84</f>
        <v>-0.11450839861441586</v>
      </c>
    </row>
    <row r="85" spans="1:15" s="118" customFormat="1" ht="24.6">
      <c r="H85" s="119"/>
      <c r="I85" s="119"/>
      <c r="J85" s="119"/>
      <c r="K85" s="119"/>
      <c r="L85" s="119"/>
      <c r="M85" s="119"/>
      <c r="N85" s="119"/>
    </row>
  </sheetData>
  <autoFilter ref="A5:I83" xr:uid="{00000000-0009-0000-0000-000002000000}">
    <filterColumn colId="0" showButton="0"/>
    <filterColumn colId="1" showButton="0"/>
    <filterColumn colId="2" showButton="0"/>
    <filterColumn colId="3" showButton="0"/>
    <filterColumn colId="4" showButton="0"/>
  </autoFilter>
  <mergeCells count="11">
    <mergeCell ref="B31:F31"/>
    <mergeCell ref="A45:F45"/>
    <mergeCell ref="B51:F51"/>
    <mergeCell ref="A57:F57"/>
    <mergeCell ref="A80:F80"/>
    <mergeCell ref="A30:F30"/>
    <mergeCell ref="A1:O1"/>
    <mergeCell ref="A3:F3"/>
    <mergeCell ref="A5:F5"/>
    <mergeCell ref="A13:F13"/>
    <mergeCell ref="A21:F21"/>
  </mergeCells>
  <pageMargins left="0.39370078740157483" right="0.31496062992125984" top="0.39370078740157483" bottom="0.39370078740157483" header="0.31496062992125984" footer="0.31496062992125984"/>
  <pageSetup paperSize="9" scale="75" fitToHeight="0" orientation="landscape" horizontalDpi="4294967293" r:id="rId1"/>
  <headerFooter>
    <oddFooter>&amp;R&amp;P</oddFooter>
  </headerFooter>
  <rowBreaks count="3" manualBreakCount="3">
    <brk id="20" max="16383" man="1"/>
    <brk id="44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63"/>
  <sheetViews>
    <sheetView view="pageLayout" topLeftCell="A136" zoomScale="122" zoomScaleNormal="40" zoomScalePageLayoutView="122" workbookViewId="0">
      <selection activeCell="G144" sqref="G144"/>
    </sheetView>
  </sheetViews>
  <sheetFormatPr defaultColWidth="9.109375" defaultRowHeight="14.4"/>
  <cols>
    <col min="1" max="1" width="6.33203125" style="61" customWidth="1"/>
    <col min="2" max="2" width="34.44140625" style="61" customWidth="1"/>
    <col min="3" max="3" width="11.6640625" style="61" customWidth="1"/>
    <col min="4" max="7" width="14.33203125" style="61" customWidth="1"/>
    <col min="8" max="8" width="40.6640625" style="61" customWidth="1"/>
    <col min="9" max="16384" width="9.109375" style="61"/>
  </cols>
  <sheetData>
    <row r="2" spans="1:8" ht="15" thickBot="1">
      <c r="A2" s="170" t="s">
        <v>253</v>
      </c>
      <c r="B2" s="172"/>
    </row>
    <row r="3" spans="1:8" ht="15.6">
      <c r="A3" s="171" t="s">
        <v>107</v>
      </c>
      <c r="B3" s="173">
        <v>1</v>
      </c>
    </row>
    <row r="4" spans="1:8" ht="15.6">
      <c r="A4" s="171" t="s">
        <v>108</v>
      </c>
      <c r="B4" s="174">
        <v>28</v>
      </c>
    </row>
    <row r="5" spans="1:8" ht="16.2" thickBot="1">
      <c r="A5" s="171" t="s">
        <v>109</v>
      </c>
      <c r="B5" s="175">
        <v>265</v>
      </c>
    </row>
    <row r="6" spans="1:8">
      <c r="H6" s="177">
        <f>10^6</f>
        <v>1000000</v>
      </c>
    </row>
    <row r="8" spans="1:8">
      <c r="A8" s="244"/>
      <c r="B8" s="238" t="s">
        <v>218</v>
      </c>
      <c r="C8" s="244" t="s">
        <v>105</v>
      </c>
      <c r="D8" s="244" t="s">
        <v>106</v>
      </c>
      <c r="E8" s="244"/>
      <c r="F8" s="244"/>
      <c r="G8" s="244"/>
      <c r="H8" s="238" t="s">
        <v>219</v>
      </c>
    </row>
    <row r="9" spans="1:8" ht="15.6">
      <c r="A9" s="244"/>
      <c r="B9" s="238"/>
      <c r="C9" s="244"/>
      <c r="D9" s="62" t="s">
        <v>107</v>
      </c>
      <c r="E9" s="62" t="s">
        <v>108</v>
      </c>
      <c r="F9" s="62" t="s">
        <v>109</v>
      </c>
      <c r="G9" s="62" t="s">
        <v>110</v>
      </c>
      <c r="H9" s="238"/>
    </row>
    <row r="10" spans="1:8" ht="15.6">
      <c r="A10" s="244"/>
      <c r="B10" s="238"/>
      <c r="C10" s="244"/>
      <c r="D10" s="62" t="s">
        <v>111</v>
      </c>
      <c r="E10" s="62" t="s">
        <v>112</v>
      </c>
      <c r="F10" s="62" t="s">
        <v>113</v>
      </c>
      <c r="G10" s="62" t="s">
        <v>114</v>
      </c>
      <c r="H10" s="238"/>
    </row>
    <row r="11" spans="1:8">
      <c r="A11" s="63" t="s">
        <v>115</v>
      </c>
      <c r="C11" s="64"/>
      <c r="D11" s="64"/>
      <c r="E11" s="64"/>
      <c r="F11" s="64"/>
      <c r="G11" s="64"/>
      <c r="H11" s="65"/>
    </row>
    <row r="12" spans="1:8">
      <c r="A12" s="66"/>
      <c r="B12" s="67" t="s">
        <v>116</v>
      </c>
      <c r="C12" s="66" t="s">
        <v>117</v>
      </c>
      <c r="D12" s="68">
        <f>D56*$G$56*10^-6</f>
        <v>5.7221999999999995E-2</v>
      </c>
      <c r="E12" s="68">
        <f>E56*$G$56*10^-6</f>
        <v>1.02E-6</v>
      </c>
      <c r="F12" s="68">
        <f>F56*$G$56*10^-6</f>
        <v>1.02E-7</v>
      </c>
      <c r="G12" s="176">
        <f>D12+(E12*$B$4)+(F12*$B$5)</f>
        <v>5.7277589999999989E-2</v>
      </c>
      <c r="H12" s="181" t="s">
        <v>118</v>
      </c>
    </row>
    <row r="13" spans="1:8">
      <c r="A13" s="66"/>
      <c r="B13" s="61" t="s">
        <v>116</v>
      </c>
      <c r="C13" s="180" t="s">
        <v>260</v>
      </c>
      <c r="D13" s="68">
        <f>D56/(10^6)</f>
        <v>5.6099999999999997E-2</v>
      </c>
      <c r="E13" s="68">
        <f>E56/(10^6)</f>
        <v>9.9999999999999995E-7</v>
      </c>
      <c r="F13" s="68">
        <f>F56/(10^6)</f>
        <v>1.0000000000000001E-7</v>
      </c>
      <c r="G13" s="176">
        <f>D13+(E13*$B$4)+(F13*$B$5)</f>
        <v>5.6154499999999996E-2</v>
      </c>
      <c r="H13" s="181" t="s">
        <v>118</v>
      </c>
    </row>
    <row r="14" spans="1:8">
      <c r="A14" s="66"/>
      <c r="B14" s="67" t="s">
        <v>119</v>
      </c>
      <c r="C14" s="66" t="s">
        <v>120</v>
      </c>
      <c r="D14" s="68">
        <f>D57*$G$57*10^-6</f>
        <v>1.0574699999999999</v>
      </c>
      <c r="E14" s="68">
        <f>E57*$G$57*10^-6</f>
        <v>1.047E-5</v>
      </c>
      <c r="F14" s="68">
        <f>F57*$G$57*10^-6</f>
        <v>1.5705E-5</v>
      </c>
      <c r="G14" s="176">
        <f t="shared" ref="G14:G23" si="0">D14+(E14*$B$4)+(F14*$B$5)</f>
        <v>1.0619249849999999</v>
      </c>
      <c r="H14" s="181" t="s">
        <v>118</v>
      </c>
    </row>
    <row r="15" spans="1:8">
      <c r="A15" s="66"/>
      <c r="B15" s="65" t="s">
        <v>258</v>
      </c>
      <c r="C15" s="66" t="s">
        <v>121</v>
      </c>
      <c r="D15" s="68">
        <f>D58*$G$58*10^-6</f>
        <v>3.2096984443713019</v>
      </c>
      <c r="E15" s="68">
        <f>E58*$G$58*10^-6</f>
        <v>1.2440691644850007E-4</v>
      </c>
      <c r="F15" s="68">
        <f>F58*$G$58*10^-6</f>
        <v>2.4881383289700012E-5</v>
      </c>
      <c r="G15" s="176">
        <f t="shared" si="0"/>
        <v>3.2197754046036304</v>
      </c>
      <c r="H15" s="181" t="s">
        <v>261</v>
      </c>
    </row>
    <row r="16" spans="1:8">
      <c r="A16" s="66"/>
      <c r="B16" s="61" t="s">
        <v>259</v>
      </c>
      <c r="C16" s="66" t="s">
        <v>121</v>
      </c>
      <c r="D16" s="68">
        <f>D59*$G$59*10^-6</f>
        <v>3.2353401009425418</v>
      </c>
      <c r="E16" s="68">
        <f>E59*$G$59*10^-6</f>
        <v>1.2540077910630005E-4</v>
      </c>
      <c r="F16" s="68">
        <f>F59*$G$59*10^-6</f>
        <v>2.5080155821260009E-5</v>
      </c>
      <c r="G16" s="176">
        <f t="shared" si="0"/>
        <v>3.2454975640501518</v>
      </c>
      <c r="H16" s="181" t="s">
        <v>261</v>
      </c>
    </row>
    <row r="17" spans="1:8">
      <c r="A17" s="66"/>
      <c r="B17" s="67" t="s">
        <v>122</v>
      </c>
      <c r="C17" s="66" t="s">
        <v>121</v>
      </c>
      <c r="D17" s="68">
        <f>D60*$G$60*10^-6</f>
        <v>2.6987220000000001</v>
      </c>
      <c r="E17" s="68">
        <f>E60*$G$60*10^-6</f>
        <v>1.0925999999999999E-4</v>
      </c>
      <c r="F17" s="68">
        <f>F60*$G$60*10^-6</f>
        <v>2.1852E-5</v>
      </c>
      <c r="G17" s="176">
        <f t="shared" si="0"/>
        <v>2.7075720599999999</v>
      </c>
      <c r="H17" s="181" t="s">
        <v>118</v>
      </c>
    </row>
    <row r="18" spans="1:8">
      <c r="A18" s="66"/>
      <c r="B18" s="67" t="s">
        <v>123</v>
      </c>
      <c r="C18" s="66" t="s">
        <v>120</v>
      </c>
      <c r="D18" s="68">
        <f>D61*$G$61*10^-6</f>
        <v>3.0866199999999999</v>
      </c>
      <c r="E18" s="68">
        <f>E61*$G$61*10^-6</f>
        <v>3.1399999999999998E-5</v>
      </c>
      <c r="F18" s="68">
        <f>F61*$G$61*10^-6</f>
        <v>4.7099999999999993E-5</v>
      </c>
      <c r="G18" s="176">
        <f t="shared" si="0"/>
        <v>3.0999806999999997</v>
      </c>
      <c r="H18" s="181" t="s">
        <v>118</v>
      </c>
    </row>
    <row r="19" spans="1:8">
      <c r="A19" s="66"/>
      <c r="B19" s="67" t="s">
        <v>124</v>
      </c>
      <c r="C19" s="66" t="s">
        <v>120</v>
      </c>
      <c r="D19" s="68">
        <f>D62*$G$62*10^-6</f>
        <v>2.534157</v>
      </c>
      <c r="E19" s="68">
        <f>E62*$G$62*10^-6</f>
        <v>2.637E-5</v>
      </c>
      <c r="F19" s="68">
        <f>F62*$G$62*10^-6</f>
        <v>3.9554999999999997E-5</v>
      </c>
      <c r="G19" s="176">
        <f t="shared" si="0"/>
        <v>2.5453774350000002</v>
      </c>
      <c r="H19" s="181" t="s">
        <v>118</v>
      </c>
    </row>
    <row r="20" spans="1:8">
      <c r="A20" s="66"/>
      <c r="B20" s="67" t="s">
        <v>125</v>
      </c>
      <c r="C20" s="66" t="s">
        <v>121</v>
      </c>
      <c r="D20" s="68">
        <f>D63*$G$63*10^-6</f>
        <v>2.4688949999999998</v>
      </c>
      <c r="E20" s="68">
        <f>E63*$G$63*10^-6</f>
        <v>1.0359E-4</v>
      </c>
      <c r="F20" s="68">
        <f>F63*$G$63*10^-6</f>
        <v>2.0718000000000001E-5</v>
      </c>
      <c r="G20" s="176">
        <f t="shared" si="0"/>
        <v>2.4772857899999998</v>
      </c>
      <c r="H20" s="181" t="s">
        <v>118</v>
      </c>
    </row>
    <row r="21" spans="1:8">
      <c r="A21" s="66"/>
      <c r="B21" s="67" t="s">
        <v>126</v>
      </c>
      <c r="C21" s="66" t="s">
        <v>121</v>
      </c>
      <c r="D21" s="68">
        <f>D64*$G$64*10^-6</f>
        <v>1.6797219999999999</v>
      </c>
      <c r="E21" s="68">
        <f>E64*$G$64*10^-6</f>
        <v>2.6619999999999999E-5</v>
      </c>
      <c r="F21" s="68">
        <f>F64*$G$64*10^-6</f>
        <v>2.6620000000000001E-6</v>
      </c>
      <c r="G21" s="176">
        <f t="shared" si="0"/>
        <v>1.68117279</v>
      </c>
      <c r="H21" s="181" t="s">
        <v>118</v>
      </c>
    </row>
    <row r="22" spans="1:8">
      <c r="A22" s="63"/>
      <c r="B22" s="67" t="s">
        <v>126</v>
      </c>
      <c r="C22" s="66" t="s">
        <v>120</v>
      </c>
      <c r="D22" s="68">
        <f>D21/0.54</f>
        <v>3.1105962962962961</v>
      </c>
      <c r="E22" s="68">
        <f>E21/0.54</f>
        <v>4.9296296296296292E-5</v>
      </c>
      <c r="F22" s="68">
        <f>F21/0.54</f>
        <v>4.9296296296296292E-6</v>
      </c>
      <c r="G22" s="176">
        <f t="shared" si="0"/>
        <v>3.1132829444444439</v>
      </c>
      <c r="H22" s="181" t="s">
        <v>262</v>
      </c>
    </row>
    <row r="23" spans="1:8">
      <c r="A23" s="63"/>
      <c r="B23" s="61" t="s">
        <v>256</v>
      </c>
      <c r="C23" s="180" t="s">
        <v>121</v>
      </c>
      <c r="D23" s="68">
        <f>D65*$G$65*10^-6</f>
        <v>2.1815639999999998</v>
      </c>
      <c r="E23" s="68">
        <f>E65*$G$65*10^-6</f>
        <v>9.4439999999999997E-5</v>
      </c>
      <c r="F23" s="68">
        <f>F65*$G$65*10^-6</f>
        <v>1.8887999999999996E-5</v>
      </c>
      <c r="G23" s="176">
        <f t="shared" si="0"/>
        <v>2.1892136399999997</v>
      </c>
      <c r="H23" s="181" t="s">
        <v>118</v>
      </c>
    </row>
    <row r="24" spans="1:8">
      <c r="A24" s="63"/>
      <c r="B24" s="67"/>
      <c r="C24" s="66"/>
      <c r="D24" s="68"/>
      <c r="E24" s="68"/>
      <c r="F24" s="68"/>
      <c r="G24" s="68"/>
      <c r="H24" s="69"/>
    </row>
    <row r="25" spans="1:8">
      <c r="A25" s="63" t="s">
        <v>128</v>
      </c>
      <c r="B25" s="67"/>
      <c r="C25" s="66"/>
      <c r="D25" s="68"/>
      <c r="E25" s="68"/>
      <c r="F25" s="68"/>
      <c r="G25" s="68"/>
      <c r="H25" s="69"/>
    </row>
    <row r="26" spans="1:8">
      <c r="A26" s="63"/>
      <c r="B26" s="67" t="s">
        <v>129</v>
      </c>
      <c r="C26" s="70" t="s">
        <v>121</v>
      </c>
      <c r="D26" s="68">
        <f>D71*$G$71*10^-6</f>
        <v>2.1815639999999998</v>
      </c>
      <c r="E26" s="68">
        <f>E71*$G$71*10^-6</f>
        <v>1.0388399999999999E-3</v>
      </c>
      <c r="F26" s="68">
        <f>F71*$G$71*10^-6</f>
        <v>1.0073600000000001E-4</v>
      </c>
      <c r="G26" s="176">
        <f t="shared" ref="G26:G32" si="1">D26+(E26*$B$4)+(F26*$B$5)</f>
        <v>2.2373465599999998</v>
      </c>
      <c r="H26" s="69" t="s">
        <v>130</v>
      </c>
    </row>
    <row r="27" spans="1:8">
      <c r="A27" s="63"/>
      <c r="B27" s="67" t="s">
        <v>131</v>
      </c>
      <c r="C27" s="70" t="s">
        <v>121</v>
      </c>
      <c r="D27" s="68">
        <f>D72*$G$72*10^-6</f>
        <v>2.1815639999999998</v>
      </c>
      <c r="E27" s="68">
        <f>E72*$G$72*10^-6</f>
        <v>7.8699999999999994E-4</v>
      </c>
      <c r="F27" s="68">
        <f>F72*$G$72*10^-6</f>
        <v>2.5183999999999997E-4</v>
      </c>
      <c r="G27" s="176">
        <f t="shared" si="1"/>
        <v>2.2703376</v>
      </c>
      <c r="H27" s="69" t="s">
        <v>130</v>
      </c>
    </row>
    <row r="28" spans="1:8">
      <c r="A28" s="63"/>
      <c r="B28" s="67" t="s">
        <v>132</v>
      </c>
      <c r="C28" s="70" t="s">
        <v>121</v>
      </c>
      <c r="D28" s="68">
        <f>D73*$G$73*10^-6</f>
        <v>2.1815639999999998</v>
      </c>
      <c r="E28" s="68">
        <f>E73*$G$73*10^-6</f>
        <v>1.1962399999999999E-4</v>
      </c>
      <c r="F28" s="68">
        <f>F73*$G$73*10^-6</f>
        <v>1.7943599999999999E-4</v>
      </c>
      <c r="G28" s="176">
        <f t="shared" si="1"/>
        <v>2.2324640119999999</v>
      </c>
      <c r="H28" s="69" t="s">
        <v>130</v>
      </c>
    </row>
    <row r="29" spans="1:8">
      <c r="A29" s="63"/>
      <c r="B29" s="67" t="s">
        <v>133</v>
      </c>
      <c r="C29" s="70" t="s">
        <v>121</v>
      </c>
      <c r="D29" s="68">
        <f>D74*$G$74*10^-6</f>
        <v>2.6987220000000001</v>
      </c>
      <c r="E29" s="68">
        <f>E74*$G$74*10^-6</f>
        <v>1.4203800000000001E-4</v>
      </c>
      <c r="F29" s="68">
        <f>F74*$G$74*10^-6</f>
        <v>1.4203800000000001E-4</v>
      </c>
      <c r="G29" s="176">
        <f t="shared" si="1"/>
        <v>2.7403391340000001</v>
      </c>
      <c r="H29" s="69" t="s">
        <v>130</v>
      </c>
    </row>
    <row r="30" spans="1:8">
      <c r="A30" s="63"/>
      <c r="B30" s="67" t="s">
        <v>134</v>
      </c>
      <c r="C30" s="70" t="s">
        <v>120</v>
      </c>
      <c r="D30" s="68">
        <f>D75*$G$75*10^-6</f>
        <v>2.1261899999999998</v>
      </c>
      <c r="E30" s="68">
        <f>E75*$G$75*10^-6</f>
        <v>3.4867999999999995E-3</v>
      </c>
      <c r="F30" s="68">
        <f>F75*$G$75*10^-6</f>
        <v>1.1369999999999999E-4</v>
      </c>
      <c r="G30" s="176">
        <f t="shared" si="1"/>
        <v>2.2539508999999995</v>
      </c>
      <c r="H30" s="69" t="s">
        <v>135</v>
      </c>
    </row>
    <row r="31" spans="1:8">
      <c r="A31" s="63"/>
      <c r="B31" s="67" t="s">
        <v>136</v>
      </c>
      <c r="C31" s="70" t="s">
        <v>121</v>
      </c>
      <c r="D31" s="68">
        <f>D76*$G$76*10^-6</f>
        <v>1.6797219999999999</v>
      </c>
      <c r="E31" s="68">
        <f>E76*$G$76*10^-6</f>
        <v>1.65044E-3</v>
      </c>
      <c r="F31" s="68">
        <f>F76*$G$76*10^-6</f>
        <v>5.3240000000000002E-6</v>
      </c>
      <c r="G31" s="176">
        <f t="shared" si="1"/>
        <v>1.7273451799999999</v>
      </c>
      <c r="H31" s="69" t="s">
        <v>130</v>
      </c>
    </row>
    <row r="32" spans="1:8">
      <c r="A32" s="63"/>
      <c r="B32" s="67" t="s">
        <v>136</v>
      </c>
      <c r="C32" s="66" t="s">
        <v>120</v>
      </c>
      <c r="D32" s="68">
        <f>D31/0.54</f>
        <v>3.1105962962962961</v>
      </c>
      <c r="E32" s="68">
        <f>E31/0.54</f>
        <v>3.0563703703703703E-3</v>
      </c>
      <c r="F32" s="68">
        <f>F31/0.54</f>
        <v>9.8592592592592585E-6</v>
      </c>
      <c r="G32" s="176">
        <f t="shared" si="1"/>
        <v>3.1987873703703702</v>
      </c>
      <c r="H32" s="69" t="s">
        <v>127</v>
      </c>
    </row>
    <row r="33" spans="1:8">
      <c r="A33" s="63" t="s">
        <v>137</v>
      </c>
      <c r="B33" s="67"/>
      <c r="C33" s="66"/>
      <c r="D33" s="68"/>
      <c r="E33" s="68"/>
      <c r="F33" s="68"/>
      <c r="G33" s="68"/>
      <c r="H33" s="69"/>
    </row>
    <row r="34" spans="1:8">
      <c r="A34" s="63"/>
      <c r="B34" s="71" t="s">
        <v>138</v>
      </c>
      <c r="C34" s="70"/>
      <c r="D34" s="68"/>
      <c r="E34" s="68"/>
      <c r="F34" s="68"/>
      <c r="G34" s="68"/>
      <c r="H34" s="69"/>
    </row>
    <row r="35" spans="1:8">
      <c r="A35" s="63"/>
      <c r="B35" s="72" t="s">
        <v>139</v>
      </c>
      <c r="C35" s="70" t="s">
        <v>121</v>
      </c>
      <c r="D35" s="68">
        <f>D83*$G$83/(10^6)</f>
        <v>2.6987220000000001</v>
      </c>
      <c r="E35" s="68">
        <f>E83*$G$83/(10^6)</f>
        <v>1.5114300000000004E-4</v>
      </c>
      <c r="F35" s="68">
        <f>F83*$G$83/(10^6)</f>
        <v>1.0416120000000001E-3</v>
      </c>
      <c r="G35" s="176">
        <f t="shared" ref="G35:G50" si="2">D35+(E35*$B$4)+(F35*$B$5)</f>
        <v>2.9789811840000002</v>
      </c>
      <c r="H35" s="69" t="s">
        <v>140</v>
      </c>
    </row>
    <row r="36" spans="1:8">
      <c r="A36" s="63"/>
      <c r="B36" s="72" t="s">
        <v>141</v>
      </c>
      <c r="C36" s="70" t="s">
        <v>121</v>
      </c>
      <c r="D36" s="68">
        <f>D84*$G$84/(10^6)</f>
        <v>2.6987220000000001</v>
      </c>
      <c r="E36" s="68">
        <f>E84*$G$84/(10^6)</f>
        <v>1.5114300000000004E-4</v>
      </c>
      <c r="F36" s="68">
        <f>F84*$G$84/(10^6)</f>
        <v>1.0416120000000001E-3</v>
      </c>
      <c r="G36" s="176">
        <f t="shared" si="2"/>
        <v>2.9789811840000002</v>
      </c>
      <c r="H36" s="69" t="s">
        <v>140</v>
      </c>
    </row>
    <row r="37" spans="1:8">
      <c r="A37" s="63"/>
      <c r="B37" s="72" t="s">
        <v>142</v>
      </c>
      <c r="C37" s="70" t="s">
        <v>121</v>
      </c>
      <c r="D37" s="68">
        <f>D85*$G$85/(10^6)</f>
        <v>2.6987220000000001</v>
      </c>
      <c r="E37" s="68">
        <f>E85*$G$85/(10^6)</f>
        <v>1.5114300000000004E-4</v>
      </c>
      <c r="F37" s="68">
        <f>F85*$G$85/(10^6)</f>
        <v>1.0416120000000001E-3</v>
      </c>
      <c r="G37" s="176">
        <f t="shared" si="2"/>
        <v>2.9789811840000002</v>
      </c>
      <c r="H37" s="69" t="s">
        <v>140</v>
      </c>
    </row>
    <row r="38" spans="1:8">
      <c r="A38" s="63"/>
      <c r="B38" s="72" t="s">
        <v>143</v>
      </c>
      <c r="C38" s="70" t="s">
        <v>121</v>
      </c>
      <c r="D38" s="68">
        <f>D86*$G$86/(10^6)</f>
        <v>2.6987220000000001</v>
      </c>
      <c r="E38" s="68">
        <f>E86*$G$86/(10^6)</f>
        <v>1.5114300000000004E-4</v>
      </c>
      <c r="F38" s="68">
        <f>F86*$G$86/(10^6)</f>
        <v>1.0416120000000001E-3</v>
      </c>
      <c r="G38" s="176">
        <f t="shared" si="2"/>
        <v>2.9789811840000002</v>
      </c>
      <c r="H38" s="69" t="s">
        <v>140</v>
      </c>
    </row>
    <row r="39" spans="1:8">
      <c r="A39" s="63"/>
      <c r="B39" s="71" t="s">
        <v>144</v>
      </c>
      <c r="C39" s="70"/>
      <c r="D39" s="68"/>
      <c r="E39" s="68"/>
      <c r="F39" s="68"/>
      <c r="G39" s="68"/>
      <c r="H39" s="69"/>
    </row>
    <row r="40" spans="1:8">
      <c r="A40" s="63"/>
      <c r="B40" s="72" t="s">
        <v>139</v>
      </c>
      <c r="C40" s="70" t="s">
        <v>121</v>
      </c>
      <c r="D40" s="68">
        <f>D88*$G$88/(10^6)</f>
        <v>2.1815639999999998</v>
      </c>
      <c r="E40" s="68">
        <f>E88*$G$88/(10^6)</f>
        <v>2.5184000000000001E-3</v>
      </c>
      <c r="F40" s="68">
        <f>F88*$G$88/(10^6)</f>
        <v>6.2960000000000007E-5</v>
      </c>
      <c r="G40" s="176">
        <f t="shared" si="2"/>
        <v>2.2687635999999998</v>
      </c>
      <c r="H40" s="69" t="s">
        <v>140</v>
      </c>
    </row>
    <row r="41" spans="1:8">
      <c r="A41" s="65"/>
      <c r="B41" s="72" t="s">
        <v>141</v>
      </c>
      <c r="C41" s="70" t="s">
        <v>121</v>
      </c>
      <c r="D41" s="68">
        <f>D89*$G$89/(10^6)</f>
        <v>2.1815639999999998</v>
      </c>
      <c r="E41" s="68">
        <f>E89*$G$89/(10^6)</f>
        <v>0</v>
      </c>
      <c r="F41" s="68">
        <f>F89*$G$89/(10^6)</f>
        <v>0</v>
      </c>
      <c r="G41" s="176">
        <f t="shared" si="2"/>
        <v>2.1815639999999998</v>
      </c>
      <c r="H41" s="69" t="s">
        <v>140</v>
      </c>
    </row>
    <row r="42" spans="1:8">
      <c r="A42" s="65"/>
      <c r="B42" s="72" t="s">
        <v>142</v>
      </c>
      <c r="C42" s="70" t="s">
        <v>121</v>
      </c>
      <c r="D42" s="68">
        <f>D90*$G$90/(10^6)</f>
        <v>2.1815639999999998</v>
      </c>
      <c r="E42" s="68">
        <f>E90*$G$90/(10^6)</f>
        <v>1.5740000000000001E-3</v>
      </c>
      <c r="F42" s="68">
        <f>F90*$G$90/(10^6)</f>
        <v>6.2960000000000007E-5</v>
      </c>
      <c r="G42" s="176">
        <f t="shared" si="2"/>
        <v>2.2423203999999997</v>
      </c>
      <c r="H42" s="69" t="s">
        <v>140</v>
      </c>
    </row>
    <row r="43" spans="1:8">
      <c r="A43" s="65"/>
      <c r="B43" s="72" t="s">
        <v>143</v>
      </c>
      <c r="C43" s="70" t="s">
        <v>121</v>
      </c>
      <c r="D43" s="68">
        <f>D91*$G$91/(10^6)</f>
        <v>2.1815639999999998</v>
      </c>
      <c r="E43" s="68">
        <f>E91*$G$91/(10^6)</f>
        <v>3.7775999999999999E-3</v>
      </c>
      <c r="F43" s="68">
        <f>F91*$G$91/(10^6)</f>
        <v>6.2960000000000007E-5</v>
      </c>
      <c r="G43" s="176">
        <f t="shared" si="2"/>
        <v>2.3040211999999998</v>
      </c>
      <c r="H43" s="69" t="s">
        <v>140</v>
      </c>
    </row>
    <row r="44" spans="1:8">
      <c r="A44" s="63"/>
      <c r="B44" s="71" t="s">
        <v>145</v>
      </c>
      <c r="C44" s="70"/>
      <c r="D44" s="68"/>
      <c r="E44" s="68"/>
      <c r="F44" s="68"/>
      <c r="G44" s="68"/>
      <c r="H44" s="69"/>
    </row>
    <row r="45" spans="1:8">
      <c r="A45" s="63"/>
      <c r="B45" s="72" t="s">
        <v>139</v>
      </c>
      <c r="C45" s="70" t="s">
        <v>121</v>
      </c>
      <c r="D45" s="68">
        <f>D93*$G$93/(10^6)</f>
        <v>2.1815639999999998</v>
      </c>
      <c r="E45" s="68">
        <f>E93*$G$93/(10^6)</f>
        <v>4.4072E-3</v>
      </c>
      <c r="F45" s="68">
        <f>F93*$G$93/(10^6)</f>
        <v>1.2592000000000001E-5</v>
      </c>
      <c r="G45" s="176">
        <f t="shared" si="2"/>
        <v>2.30830248</v>
      </c>
      <c r="H45" s="69" t="s">
        <v>140</v>
      </c>
    </row>
    <row r="46" spans="1:8">
      <c r="A46" s="65"/>
      <c r="B46" s="72" t="s">
        <v>141</v>
      </c>
      <c r="C46" s="70" t="s">
        <v>121</v>
      </c>
      <c r="D46" s="68">
        <f>D94*$G$94/(10^6)</f>
        <v>2.1815639999999998</v>
      </c>
      <c r="E46" s="68">
        <f>E94*$G$94/(10^6)</f>
        <v>5.3516000000000006E-3</v>
      </c>
      <c r="F46" s="68">
        <f>F94*$G$94/(10^6)</f>
        <v>1.2592000000000001E-5</v>
      </c>
      <c r="G46" s="176">
        <f t="shared" si="2"/>
        <v>2.3347456799999997</v>
      </c>
      <c r="H46" s="69" t="s">
        <v>140</v>
      </c>
    </row>
    <row r="47" spans="1:8">
      <c r="A47" s="65"/>
      <c r="B47" s="72" t="s">
        <v>142</v>
      </c>
      <c r="C47" s="70" t="s">
        <v>121</v>
      </c>
      <c r="D47" s="68">
        <f>D95*$G$95/(10^6)</f>
        <v>2.1815639999999998</v>
      </c>
      <c r="E47" s="68">
        <f>E95*$G$95/(10^6)</f>
        <v>4.0924000000000004E-3</v>
      </c>
      <c r="F47" s="68">
        <f>F95*$G$95/(10^6)</f>
        <v>1.2592000000000001E-5</v>
      </c>
      <c r="G47" s="176">
        <f t="shared" si="2"/>
        <v>2.2994880799999997</v>
      </c>
      <c r="H47" s="69" t="s">
        <v>140</v>
      </c>
    </row>
    <row r="48" spans="1:8">
      <c r="A48" s="65"/>
      <c r="B48" s="72" t="s">
        <v>143</v>
      </c>
      <c r="C48" s="70" t="s">
        <v>121</v>
      </c>
      <c r="D48" s="68">
        <f>D96*$G$96/(10^6)</f>
        <v>2.1815639999999998</v>
      </c>
      <c r="E48" s="68">
        <f>E96*$G$96/(10^6)</f>
        <v>5.6663999999999994E-3</v>
      </c>
      <c r="F48" s="68">
        <f>F96*$G$96/(10^6)</f>
        <v>1.2592000000000001E-5</v>
      </c>
      <c r="G48" s="176">
        <f t="shared" si="2"/>
        <v>2.3435600799999996</v>
      </c>
      <c r="H48" s="69" t="s">
        <v>140</v>
      </c>
    </row>
    <row r="49" spans="1:8">
      <c r="A49" s="63" t="s">
        <v>146</v>
      </c>
      <c r="B49" s="67"/>
      <c r="C49" s="66"/>
      <c r="D49" s="68"/>
      <c r="E49" s="68"/>
      <c r="F49" s="68"/>
      <c r="G49" s="68"/>
      <c r="H49" s="69"/>
    </row>
    <row r="50" spans="1:8">
      <c r="A50" s="63"/>
      <c r="B50" s="73" t="s">
        <v>138</v>
      </c>
      <c r="C50" s="66" t="s">
        <v>121</v>
      </c>
      <c r="D50" s="68">
        <f>D102*$G$102*10^-6</f>
        <v>2.6987220000000001</v>
      </c>
      <c r="E50" s="68">
        <f>E102*$G$102*10^-6</f>
        <v>1.5114300000000001E-4</v>
      </c>
      <c r="F50" s="68">
        <f>F102*$G$102*10^-6</f>
        <v>1.0416120000000001E-3</v>
      </c>
      <c r="G50" s="176">
        <f t="shared" si="2"/>
        <v>2.9789811840000002</v>
      </c>
      <c r="H50" s="69" t="s">
        <v>147</v>
      </c>
    </row>
    <row r="51" spans="1:8">
      <c r="B51" s="74"/>
      <c r="C51" s="74"/>
      <c r="D51" s="75"/>
      <c r="E51" s="75"/>
      <c r="F51" s="75"/>
      <c r="G51" s="76"/>
    </row>
    <row r="52" spans="1:8" s="82" customFormat="1">
      <c r="A52" s="77" t="s">
        <v>115</v>
      </c>
      <c r="B52" s="78"/>
      <c r="C52" s="78"/>
      <c r="D52" s="79"/>
      <c r="E52" s="80"/>
      <c r="F52" s="79"/>
      <c r="G52" s="81"/>
    </row>
    <row r="53" spans="1:8">
      <c r="D53" s="83"/>
      <c r="E53" s="84" t="s">
        <v>148</v>
      </c>
      <c r="F53" s="84"/>
      <c r="G53" s="84" t="s">
        <v>149</v>
      </c>
    </row>
    <row r="54" spans="1:8" ht="14.25" customHeight="1">
      <c r="B54" s="67"/>
      <c r="C54" s="66"/>
      <c r="D54" s="239" t="s">
        <v>150</v>
      </c>
      <c r="E54" s="239"/>
      <c r="F54" s="239"/>
      <c r="G54" s="85" t="s">
        <v>151</v>
      </c>
    </row>
    <row r="55" spans="1:8">
      <c r="B55" s="67"/>
      <c r="C55" s="66" t="s">
        <v>152</v>
      </c>
      <c r="D55" s="86" t="s">
        <v>153</v>
      </c>
      <c r="E55" s="66" t="s">
        <v>154</v>
      </c>
      <c r="F55" s="66" t="s">
        <v>155</v>
      </c>
      <c r="G55" s="178" t="s">
        <v>156</v>
      </c>
    </row>
    <row r="56" spans="1:8">
      <c r="B56" s="67" t="s">
        <v>116</v>
      </c>
      <c r="C56" s="66" t="s">
        <v>117</v>
      </c>
      <c r="D56" s="87">
        <v>56100</v>
      </c>
      <c r="E56" s="66">
        <v>1</v>
      </c>
      <c r="F56" s="66">
        <v>0.1</v>
      </c>
      <c r="G56" s="179">
        <v>1.02</v>
      </c>
      <c r="H56" s="61" t="s">
        <v>157</v>
      </c>
    </row>
    <row r="57" spans="1:8">
      <c r="B57" s="67" t="s">
        <v>119</v>
      </c>
      <c r="C57" s="66" t="s">
        <v>120</v>
      </c>
      <c r="D57" s="87">
        <v>101000</v>
      </c>
      <c r="E57" s="66">
        <v>1</v>
      </c>
      <c r="F57" s="66">
        <v>1.5</v>
      </c>
      <c r="G57" s="179">
        <v>10.47</v>
      </c>
    </row>
    <row r="58" spans="1:8">
      <c r="B58" s="67" t="s">
        <v>254</v>
      </c>
      <c r="C58" s="66" t="s">
        <v>121</v>
      </c>
      <c r="D58" s="87">
        <v>77400</v>
      </c>
      <c r="E58" s="66">
        <v>3</v>
      </c>
      <c r="F58" s="66">
        <v>0.6</v>
      </c>
      <c r="G58" s="179">
        <v>41.468972149500026</v>
      </c>
      <c r="H58" s="61" t="s">
        <v>257</v>
      </c>
    </row>
    <row r="59" spans="1:8">
      <c r="B59" s="67" t="s">
        <v>255</v>
      </c>
      <c r="C59" s="66" t="s">
        <v>121</v>
      </c>
      <c r="D59" s="87">
        <v>77400</v>
      </c>
      <c r="E59" s="66">
        <v>3</v>
      </c>
      <c r="F59" s="66">
        <v>0.6</v>
      </c>
      <c r="G59" s="179">
        <v>41.800259702100021</v>
      </c>
      <c r="H59" s="61" t="s">
        <v>257</v>
      </c>
    </row>
    <row r="60" spans="1:8">
      <c r="B60" s="67" t="s">
        <v>122</v>
      </c>
      <c r="C60" s="66" t="s">
        <v>121</v>
      </c>
      <c r="D60" s="87">
        <v>74100</v>
      </c>
      <c r="E60" s="66">
        <v>3</v>
      </c>
      <c r="F60" s="66">
        <v>0.6</v>
      </c>
      <c r="G60" s="179">
        <v>36.42</v>
      </c>
    </row>
    <row r="61" spans="1:8">
      <c r="B61" s="67" t="s">
        <v>123</v>
      </c>
      <c r="C61" s="66" t="s">
        <v>120</v>
      </c>
      <c r="D61" s="87">
        <v>98300</v>
      </c>
      <c r="E61" s="66">
        <v>1</v>
      </c>
      <c r="F61" s="66">
        <v>1.5</v>
      </c>
      <c r="G61" s="179">
        <v>31.4</v>
      </c>
    </row>
    <row r="62" spans="1:8">
      <c r="B62" s="67" t="s">
        <v>124</v>
      </c>
      <c r="C62" s="66" t="s">
        <v>120</v>
      </c>
      <c r="D62" s="87">
        <v>96100</v>
      </c>
      <c r="E62" s="66">
        <v>1</v>
      </c>
      <c r="F62" s="66">
        <v>1.5</v>
      </c>
      <c r="G62" s="179">
        <v>26.37</v>
      </c>
    </row>
    <row r="63" spans="1:8">
      <c r="B63" s="67" t="s">
        <v>125</v>
      </c>
      <c r="C63" s="66" t="s">
        <v>121</v>
      </c>
      <c r="D63" s="87">
        <v>71500</v>
      </c>
      <c r="E63" s="66">
        <v>3</v>
      </c>
      <c r="F63" s="66">
        <v>0.6</v>
      </c>
      <c r="G63" s="179">
        <v>34.53</v>
      </c>
    </row>
    <row r="64" spans="1:8">
      <c r="B64" s="67" t="s">
        <v>126</v>
      </c>
      <c r="C64" s="66" t="s">
        <v>121</v>
      </c>
      <c r="D64" s="87">
        <v>63100</v>
      </c>
      <c r="E64" s="66">
        <v>1</v>
      </c>
      <c r="F64" s="66">
        <v>0.1</v>
      </c>
      <c r="G64" s="179">
        <v>26.62</v>
      </c>
    </row>
    <row r="65" spans="1:8">
      <c r="B65" s="65" t="s">
        <v>256</v>
      </c>
      <c r="C65" s="66" t="s">
        <v>121</v>
      </c>
      <c r="D65" s="87">
        <v>69300</v>
      </c>
      <c r="E65" s="66">
        <v>3</v>
      </c>
      <c r="F65" s="66">
        <v>0.6</v>
      </c>
      <c r="G65" s="179">
        <v>31.48</v>
      </c>
    </row>
    <row r="66" spans="1:8">
      <c r="D66" s="83"/>
      <c r="E66" s="83"/>
      <c r="F66" s="83"/>
      <c r="G66" s="89"/>
    </row>
    <row r="67" spans="1:8" s="82" customFormat="1">
      <c r="A67" s="77" t="s">
        <v>128</v>
      </c>
      <c r="B67" s="78"/>
      <c r="C67" s="78"/>
      <c r="D67" s="79"/>
      <c r="E67" s="80"/>
      <c r="F67" s="79"/>
      <c r="G67" s="81"/>
    </row>
    <row r="68" spans="1:8">
      <c r="D68" s="243" t="s">
        <v>148</v>
      </c>
      <c r="E68" s="243"/>
      <c r="F68" s="243"/>
      <c r="G68" s="84" t="s">
        <v>149</v>
      </c>
    </row>
    <row r="69" spans="1:8">
      <c r="B69" s="67"/>
      <c r="C69" s="65"/>
      <c r="D69" s="240" t="s">
        <v>150</v>
      </c>
      <c r="E69" s="241"/>
      <c r="F69" s="242"/>
      <c r="G69" s="85" t="s">
        <v>151</v>
      </c>
    </row>
    <row r="70" spans="1:8">
      <c r="B70" s="67"/>
      <c r="C70" s="70" t="s">
        <v>152</v>
      </c>
      <c r="D70" s="66" t="s">
        <v>153</v>
      </c>
      <c r="E70" s="86" t="s">
        <v>154</v>
      </c>
      <c r="F70" s="66" t="s">
        <v>155</v>
      </c>
      <c r="G70" s="85" t="s">
        <v>156</v>
      </c>
    </row>
    <row r="71" spans="1:8">
      <c r="B71" s="67" t="s">
        <v>129</v>
      </c>
      <c r="C71" s="70" t="s">
        <v>121</v>
      </c>
      <c r="D71" s="66">
        <v>69300</v>
      </c>
      <c r="E71" s="87">
        <v>33</v>
      </c>
      <c r="F71" s="66">
        <v>3.2</v>
      </c>
      <c r="G71" s="88">
        <v>31.48</v>
      </c>
      <c r="H71" s="61" t="s">
        <v>158</v>
      </c>
    </row>
    <row r="72" spans="1:8">
      <c r="B72" s="67" t="s">
        <v>131</v>
      </c>
      <c r="C72" s="70" t="s">
        <v>121</v>
      </c>
      <c r="D72" s="66">
        <v>69300</v>
      </c>
      <c r="E72" s="87">
        <v>25</v>
      </c>
      <c r="F72" s="66">
        <v>8</v>
      </c>
      <c r="G72" s="88">
        <v>31.48</v>
      </c>
    </row>
    <row r="73" spans="1:8">
      <c r="B73" s="67" t="s">
        <v>132</v>
      </c>
      <c r="C73" s="70" t="s">
        <v>121</v>
      </c>
      <c r="D73" s="66">
        <v>69300</v>
      </c>
      <c r="E73" s="87">
        <v>3.8</v>
      </c>
      <c r="F73" s="66">
        <v>5.7</v>
      </c>
      <c r="G73" s="88">
        <v>31.48</v>
      </c>
    </row>
    <row r="74" spans="1:8">
      <c r="B74" s="67" t="s">
        <v>133</v>
      </c>
      <c r="C74" s="70" t="s">
        <v>121</v>
      </c>
      <c r="D74" s="66">
        <v>74100</v>
      </c>
      <c r="E74" s="87">
        <v>3.9</v>
      </c>
      <c r="F74" s="66">
        <v>3.9</v>
      </c>
      <c r="G74" s="88">
        <f>G60</f>
        <v>36.42</v>
      </c>
    </row>
    <row r="75" spans="1:8">
      <c r="B75" s="67" t="s">
        <v>134</v>
      </c>
      <c r="C75" s="70" t="s">
        <v>120</v>
      </c>
      <c r="D75" s="66">
        <v>56100</v>
      </c>
      <c r="E75" s="87">
        <v>92</v>
      </c>
      <c r="F75" s="66">
        <v>3</v>
      </c>
      <c r="G75" s="88">
        <v>37.9</v>
      </c>
      <c r="H75" s="61" t="s">
        <v>220</v>
      </c>
    </row>
    <row r="76" spans="1:8">
      <c r="B76" s="67" t="s">
        <v>136</v>
      </c>
      <c r="C76" s="70" t="s">
        <v>121</v>
      </c>
      <c r="D76" s="66">
        <v>63100</v>
      </c>
      <c r="E76" s="87">
        <v>62</v>
      </c>
      <c r="F76" s="66">
        <v>0.2</v>
      </c>
      <c r="G76" s="88">
        <v>26.62</v>
      </c>
    </row>
    <row r="77" spans="1:8">
      <c r="D77" s="83"/>
      <c r="E77" s="83"/>
      <c r="F77" s="83"/>
      <c r="G77" s="83"/>
    </row>
    <row r="78" spans="1:8" s="82" customFormat="1">
      <c r="A78" s="77" t="s">
        <v>159</v>
      </c>
      <c r="B78" s="78"/>
      <c r="C78" s="78"/>
      <c r="D78" s="79"/>
      <c r="E78" s="80"/>
      <c r="F78" s="79"/>
      <c r="G78" s="81"/>
    </row>
    <row r="79" spans="1:8">
      <c r="D79" s="243" t="s">
        <v>148</v>
      </c>
      <c r="E79" s="243"/>
      <c r="F79" s="243"/>
      <c r="G79" s="84" t="s">
        <v>149</v>
      </c>
    </row>
    <row r="80" spans="1:8">
      <c r="B80" s="67"/>
      <c r="C80" s="65"/>
      <c r="D80" s="240" t="s">
        <v>150</v>
      </c>
      <c r="E80" s="241"/>
      <c r="F80" s="242"/>
      <c r="G80" s="85" t="s">
        <v>151</v>
      </c>
    </row>
    <row r="81" spans="2:7">
      <c r="B81" s="67"/>
      <c r="C81" s="70" t="s">
        <v>152</v>
      </c>
      <c r="D81" s="66" t="s">
        <v>153</v>
      </c>
      <c r="E81" s="86" t="s">
        <v>154</v>
      </c>
      <c r="F81" s="66" t="s">
        <v>155</v>
      </c>
      <c r="G81" s="85" t="s">
        <v>156</v>
      </c>
    </row>
    <row r="82" spans="2:7">
      <c r="B82" s="71" t="s">
        <v>138</v>
      </c>
      <c r="C82" s="70"/>
      <c r="D82" s="66"/>
      <c r="E82" s="87"/>
      <c r="F82" s="66"/>
      <c r="G82" s="88"/>
    </row>
    <row r="83" spans="2:7">
      <c r="B83" s="72" t="s">
        <v>139</v>
      </c>
      <c r="C83" s="70" t="s">
        <v>121</v>
      </c>
      <c r="D83" s="66">
        <v>74100</v>
      </c>
      <c r="E83" s="87">
        <v>4.1500000000000004</v>
      </c>
      <c r="F83" s="66">
        <v>28.6</v>
      </c>
      <c r="G83" s="88">
        <v>36.42</v>
      </c>
    </row>
    <row r="84" spans="2:7">
      <c r="B84" s="72" t="s">
        <v>141</v>
      </c>
      <c r="C84" s="70" t="s">
        <v>121</v>
      </c>
      <c r="D84" s="66">
        <v>74100</v>
      </c>
      <c r="E84" s="87">
        <v>4.1500000000000004</v>
      </c>
      <c r="F84" s="66">
        <v>28.6</v>
      </c>
      <c r="G84" s="88">
        <v>36.42</v>
      </c>
    </row>
    <row r="85" spans="2:7">
      <c r="B85" s="72" t="s">
        <v>142</v>
      </c>
      <c r="C85" s="70" t="s">
        <v>121</v>
      </c>
      <c r="D85" s="66">
        <v>74100</v>
      </c>
      <c r="E85" s="87">
        <v>4.1500000000000004</v>
      </c>
      <c r="F85" s="66">
        <v>28.6</v>
      </c>
      <c r="G85" s="88">
        <v>36.42</v>
      </c>
    </row>
    <row r="86" spans="2:7">
      <c r="B86" s="72" t="s">
        <v>143</v>
      </c>
      <c r="C86" s="70" t="s">
        <v>121</v>
      </c>
      <c r="D86" s="66">
        <v>74100</v>
      </c>
      <c r="E86" s="87">
        <v>4.1500000000000004</v>
      </c>
      <c r="F86" s="66">
        <v>28.6</v>
      </c>
      <c r="G86" s="88">
        <v>36.42</v>
      </c>
    </row>
    <row r="87" spans="2:7">
      <c r="B87" s="71" t="s">
        <v>144</v>
      </c>
      <c r="C87" s="70"/>
      <c r="D87" s="66"/>
      <c r="E87" s="87"/>
      <c r="F87" s="66"/>
      <c r="G87" s="88"/>
    </row>
    <row r="88" spans="2:7">
      <c r="B88" s="72" t="s">
        <v>139</v>
      </c>
      <c r="C88" s="70" t="s">
        <v>121</v>
      </c>
      <c r="D88" s="88">
        <v>69300</v>
      </c>
      <c r="E88" s="88">
        <v>80</v>
      </c>
      <c r="F88" s="88">
        <v>2</v>
      </c>
      <c r="G88" s="88">
        <v>31.48</v>
      </c>
    </row>
    <row r="89" spans="2:7">
      <c r="B89" s="72" t="s">
        <v>141</v>
      </c>
      <c r="C89" s="70" t="s">
        <v>121</v>
      </c>
      <c r="D89" s="88">
        <v>69300</v>
      </c>
      <c r="E89" s="88"/>
      <c r="F89" s="88"/>
      <c r="G89" s="88">
        <v>31.48</v>
      </c>
    </row>
    <row r="90" spans="2:7">
      <c r="B90" s="72" t="s">
        <v>142</v>
      </c>
      <c r="C90" s="70" t="s">
        <v>121</v>
      </c>
      <c r="D90" s="88">
        <v>69300</v>
      </c>
      <c r="E90" s="88">
        <v>50</v>
      </c>
      <c r="F90" s="88">
        <v>2</v>
      </c>
      <c r="G90" s="88">
        <v>31.48</v>
      </c>
    </row>
    <row r="91" spans="2:7">
      <c r="B91" s="72" t="s">
        <v>143</v>
      </c>
      <c r="C91" s="70" t="s">
        <v>121</v>
      </c>
      <c r="D91" s="88">
        <v>69300</v>
      </c>
      <c r="E91" s="88">
        <v>120</v>
      </c>
      <c r="F91" s="88">
        <v>2</v>
      </c>
      <c r="G91" s="88">
        <v>31.48</v>
      </c>
    </row>
    <row r="92" spans="2:7">
      <c r="B92" s="71" t="s">
        <v>145</v>
      </c>
      <c r="C92" s="65"/>
      <c r="D92" s="90"/>
      <c r="E92" s="90"/>
      <c r="F92" s="90"/>
      <c r="G92" s="90"/>
    </row>
    <row r="93" spans="2:7">
      <c r="B93" s="72" t="s">
        <v>139</v>
      </c>
      <c r="C93" s="70" t="s">
        <v>121</v>
      </c>
      <c r="D93" s="88">
        <v>69300</v>
      </c>
      <c r="E93" s="88">
        <v>140</v>
      </c>
      <c r="F93" s="88">
        <v>0.4</v>
      </c>
      <c r="G93" s="88">
        <v>31.48</v>
      </c>
    </row>
    <row r="94" spans="2:7">
      <c r="B94" s="72" t="s">
        <v>141</v>
      </c>
      <c r="C94" s="70" t="s">
        <v>121</v>
      </c>
      <c r="D94" s="88">
        <v>69300</v>
      </c>
      <c r="E94" s="88">
        <v>170</v>
      </c>
      <c r="F94" s="88">
        <v>0.4</v>
      </c>
      <c r="G94" s="88">
        <v>31.48</v>
      </c>
    </row>
    <row r="95" spans="2:7">
      <c r="B95" s="72" t="s">
        <v>142</v>
      </c>
      <c r="C95" s="70" t="s">
        <v>121</v>
      </c>
      <c r="D95" s="88">
        <v>69300</v>
      </c>
      <c r="E95" s="88">
        <v>130</v>
      </c>
      <c r="F95" s="88">
        <v>0.4</v>
      </c>
      <c r="G95" s="88">
        <v>31.48</v>
      </c>
    </row>
    <row r="96" spans="2:7">
      <c r="B96" s="72" t="s">
        <v>143</v>
      </c>
      <c r="C96" s="70" t="s">
        <v>121</v>
      </c>
      <c r="D96" s="88">
        <v>69300</v>
      </c>
      <c r="E96" s="88">
        <v>180</v>
      </c>
      <c r="F96" s="88">
        <v>0.4</v>
      </c>
      <c r="G96" s="88">
        <v>31.48</v>
      </c>
    </row>
    <row r="97" spans="1:8">
      <c r="D97" s="83"/>
      <c r="E97" s="83"/>
      <c r="F97" s="83"/>
      <c r="G97" s="83"/>
    </row>
    <row r="98" spans="1:8" s="82" customFormat="1">
      <c r="A98" s="77" t="s">
        <v>128</v>
      </c>
      <c r="B98" s="78"/>
      <c r="C98" s="78"/>
      <c r="D98" s="79"/>
      <c r="E98" s="80"/>
      <c r="F98" s="79"/>
      <c r="G98" s="81"/>
    </row>
    <row r="99" spans="1:8">
      <c r="D99" s="243" t="s">
        <v>148</v>
      </c>
      <c r="E99" s="243"/>
      <c r="F99" s="243"/>
      <c r="G99" s="84" t="s">
        <v>149</v>
      </c>
    </row>
    <row r="100" spans="1:8">
      <c r="B100" s="67"/>
      <c r="C100" s="65"/>
      <c r="D100" s="240" t="s">
        <v>150</v>
      </c>
      <c r="E100" s="241"/>
      <c r="F100" s="242"/>
      <c r="G100" s="85" t="s">
        <v>151</v>
      </c>
    </row>
    <row r="101" spans="1:8">
      <c r="B101" s="67"/>
      <c r="C101" s="70" t="s">
        <v>152</v>
      </c>
      <c r="D101" s="66" t="s">
        <v>153</v>
      </c>
      <c r="E101" s="86" t="s">
        <v>154</v>
      </c>
      <c r="F101" s="66" t="s">
        <v>155</v>
      </c>
      <c r="G101" s="85" t="s">
        <v>156</v>
      </c>
    </row>
    <row r="102" spans="1:8">
      <c r="B102" s="67" t="s">
        <v>133</v>
      </c>
      <c r="C102" s="70" t="s">
        <v>121</v>
      </c>
      <c r="D102" s="87">
        <v>74100</v>
      </c>
      <c r="E102" s="87">
        <v>4.1500000000000004</v>
      </c>
      <c r="F102" s="66">
        <v>28.6</v>
      </c>
      <c r="G102" s="88">
        <v>36.42</v>
      </c>
    </row>
    <row r="103" spans="1:8">
      <c r="D103" s="83"/>
      <c r="E103" s="83"/>
      <c r="F103" s="83"/>
      <c r="G103" s="83"/>
    </row>
    <row r="104" spans="1:8" s="82" customFormat="1">
      <c r="A104" s="77" t="s">
        <v>161</v>
      </c>
      <c r="B104" s="78"/>
      <c r="C104" s="78"/>
      <c r="D104" s="79"/>
      <c r="E104" s="80"/>
      <c r="F104" s="79"/>
      <c r="G104" s="81"/>
    </row>
    <row r="105" spans="1:8">
      <c r="D105" s="243" t="s">
        <v>148</v>
      </c>
      <c r="E105" s="243"/>
      <c r="F105" s="243"/>
      <c r="G105" s="96"/>
      <c r="H105" s="84" t="s">
        <v>149</v>
      </c>
    </row>
    <row r="106" spans="1:8">
      <c r="B106" s="67"/>
      <c r="C106" s="65"/>
      <c r="D106" s="240" t="s">
        <v>164</v>
      </c>
      <c r="E106" s="241"/>
      <c r="F106" s="242"/>
      <c r="G106" s="97"/>
      <c r="H106" s="85" t="s">
        <v>219</v>
      </c>
    </row>
    <row r="107" spans="1:8">
      <c r="B107" s="67"/>
      <c r="C107" s="70" t="s">
        <v>152</v>
      </c>
      <c r="D107" s="66" t="s">
        <v>153</v>
      </c>
      <c r="E107" s="86" t="s">
        <v>154</v>
      </c>
      <c r="F107" s="66" t="s">
        <v>155</v>
      </c>
      <c r="G107" s="66" t="s">
        <v>166</v>
      </c>
      <c r="H107" s="85"/>
    </row>
    <row r="108" spans="1:8">
      <c r="B108" s="67" t="s">
        <v>162</v>
      </c>
      <c r="C108" s="70" t="s">
        <v>163</v>
      </c>
      <c r="D108" s="87">
        <v>792</v>
      </c>
      <c r="E108" s="87">
        <f>60/1000</f>
        <v>0.06</v>
      </c>
      <c r="F108" s="66">
        <f>56/1000</f>
        <v>5.6000000000000001E-2</v>
      </c>
      <c r="G108" s="98">
        <f>D108*B3+E108*B4+F108*B5</f>
        <v>808.52</v>
      </c>
      <c r="H108" s="95" t="s">
        <v>165</v>
      </c>
    </row>
    <row r="109" spans="1:8">
      <c r="D109" s="83"/>
      <c r="E109" s="83"/>
      <c r="F109" s="83"/>
      <c r="G109" s="83"/>
    </row>
    <row r="110" spans="1:8" s="82" customFormat="1">
      <c r="A110" s="77" t="s">
        <v>167</v>
      </c>
      <c r="B110" s="78"/>
      <c r="C110" s="78"/>
      <c r="D110" s="79"/>
      <c r="E110" s="80"/>
      <c r="F110" s="79"/>
      <c r="G110" s="81"/>
    </row>
    <row r="111" spans="1:8">
      <c r="D111" s="243" t="s">
        <v>148</v>
      </c>
      <c r="E111" s="243"/>
      <c r="F111" s="243"/>
      <c r="G111" s="96"/>
      <c r="H111" s="84" t="s">
        <v>149</v>
      </c>
    </row>
    <row r="112" spans="1:8">
      <c r="B112" s="67"/>
      <c r="C112" s="65"/>
      <c r="D112" s="240" t="s">
        <v>164</v>
      </c>
      <c r="E112" s="241"/>
      <c r="F112" s="242"/>
      <c r="G112" s="97"/>
      <c r="H112" s="85" t="s">
        <v>219</v>
      </c>
    </row>
    <row r="113" spans="1:8">
      <c r="B113" s="67"/>
      <c r="C113" s="70" t="s">
        <v>152</v>
      </c>
      <c r="D113" s="66" t="s">
        <v>153</v>
      </c>
      <c r="E113" s="86" t="s">
        <v>154</v>
      </c>
      <c r="F113" s="66" t="s">
        <v>155</v>
      </c>
      <c r="G113" s="66" t="s">
        <v>166</v>
      </c>
      <c r="H113" s="85"/>
    </row>
    <row r="114" spans="1:8">
      <c r="B114" s="67" t="s">
        <v>168</v>
      </c>
      <c r="C114" s="70" t="s">
        <v>163</v>
      </c>
      <c r="D114" s="98">
        <v>0</v>
      </c>
      <c r="E114" s="98">
        <v>0</v>
      </c>
      <c r="F114" s="98">
        <v>0</v>
      </c>
      <c r="G114" s="98">
        <f>(SUMPRODUCT(C118:G118,C123:G123))+(SUMPRODUCT(C120:G120,C125:G125))</f>
        <v>2.4879199999999999</v>
      </c>
      <c r="H114" s="135" t="s">
        <v>171</v>
      </c>
    </row>
    <row r="115" spans="1:8">
      <c r="D115" s="83"/>
      <c r="E115" s="83"/>
      <c r="F115" s="83"/>
      <c r="G115" s="83"/>
    </row>
    <row r="116" spans="1:8">
      <c r="B116" s="67"/>
      <c r="C116" s="240" t="s">
        <v>169</v>
      </c>
      <c r="D116" s="241"/>
      <c r="E116" s="241"/>
      <c r="F116" s="241"/>
      <c r="G116" s="242"/>
      <c r="H116" s="85" t="s">
        <v>219</v>
      </c>
    </row>
    <row r="117" spans="1:8">
      <c r="B117" s="245" t="s">
        <v>168</v>
      </c>
      <c r="C117" s="70" t="s">
        <v>221</v>
      </c>
      <c r="D117" s="66" t="s">
        <v>222</v>
      </c>
      <c r="E117" s="86" t="s">
        <v>223</v>
      </c>
      <c r="F117" s="66" t="s">
        <v>224</v>
      </c>
      <c r="G117" s="66" t="s">
        <v>225</v>
      </c>
      <c r="H117" s="248" t="s">
        <v>170</v>
      </c>
    </row>
    <row r="118" spans="1:8">
      <c r="B118" s="246"/>
      <c r="C118" s="70">
        <v>0.4113</v>
      </c>
      <c r="D118" s="98">
        <v>0.16650000000000001</v>
      </c>
      <c r="E118" s="87">
        <v>0.13270000000000001</v>
      </c>
      <c r="F118" s="98">
        <v>0.11119999999999999</v>
      </c>
      <c r="G118" s="98">
        <v>5.2200000000000003E-2</v>
      </c>
      <c r="H118" s="249"/>
    </row>
    <row r="119" spans="1:8">
      <c r="B119" s="246"/>
      <c r="C119" s="70" t="s">
        <v>227</v>
      </c>
      <c r="D119" s="66" t="s">
        <v>228</v>
      </c>
      <c r="E119" s="86" t="s">
        <v>229</v>
      </c>
      <c r="F119" s="66" t="s">
        <v>230</v>
      </c>
      <c r="G119" s="66" t="s">
        <v>226</v>
      </c>
      <c r="H119" s="249"/>
    </row>
    <row r="120" spans="1:8">
      <c r="B120" s="247"/>
      <c r="C120" s="70">
        <v>4.48E-2</v>
      </c>
      <c r="D120" s="98">
        <v>1.61E-2</v>
      </c>
      <c r="E120" s="87">
        <v>1.44E-2</v>
      </c>
      <c r="F120" s="98">
        <v>1.17E-2</v>
      </c>
      <c r="G120" s="98">
        <v>3.9100000000000003E-2</v>
      </c>
      <c r="H120" s="250"/>
    </row>
    <row r="121" spans="1:8">
      <c r="B121" s="67"/>
      <c r="C121" s="240" t="s">
        <v>172</v>
      </c>
      <c r="D121" s="241"/>
      <c r="E121" s="241"/>
      <c r="F121" s="241"/>
      <c r="G121" s="242"/>
      <c r="H121" s="85" t="s">
        <v>219</v>
      </c>
    </row>
    <row r="122" spans="1:8">
      <c r="B122" s="245" t="s">
        <v>168</v>
      </c>
      <c r="C122" s="70" t="s">
        <v>221</v>
      </c>
      <c r="D122" s="66" t="s">
        <v>222</v>
      </c>
      <c r="E122" s="86" t="s">
        <v>223</v>
      </c>
      <c r="F122" s="66" t="s">
        <v>224</v>
      </c>
      <c r="G122" s="66" t="s">
        <v>225</v>
      </c>
      <c r="H122" s="248" t="s">
        <v>173</v>
      </c>
    </row>
    <row r="123" spans="1:8">
      <c r="B123" s="246"/>
      <c r="C123" s="70">
        <v>2.5299999999999998</v>
      </c>
      <c r="D123" s="98">
        <v>2.3199999999999998</v>
      </c>
      <c r="E123" s="87">
        <v>2.93</v>
      </c>
      <c r="F123" s="98">
        <v>2.3199999999999998</v>
      </c>
      <c r="G123" s="98">
        <v>2.3199999999999998</v>
      </c>
      <c r="H123" s="249"/>
    </row>
    <row r="124" spans="1:8">
      <c r="B124" s="246"/>
      <c r="C124" s="70" t="s">
        <v>227</v>
      </c>
      <c r="D124" s="66" t="s">
        <v>228</v>
      </c>
      <c r="E124" s="86" t="s">
        <v>229</v>
      </c>
      <c r="F124" s="66" t="s">
        <v>230</v>
      </c>
      <c r="G124" s="66" t="s">
        <v>226</v>
      </c>
      <c r="H124" s="249"/>
    </row>
    <row r="125" spans="1:8">
      <c r="B125" s="247"/>
      <c r="C125" s="70">
        <v>3.27</v>
      </c>
      <c r="D125" s="98">
        <v>0</v>
      </c>
      <c r="E125" s="87">
        <v>2</v>
      </c>
      <c r="F125" s="98">
        <v>2.3199999999999998</v>
      </c>
      <c r="G125" s="98">
        <v>2.3199999999999998</v>
      </c>
      <c r="H125" s="250"/>
    </row>
    <row r="126" spans="1:8">
      <c r="D126" s="83"/>
      <c r="E126" s="83"/>
      <c r="F126" s="83"/>
      <c r="G126" s="83"/>
    </row>
    <row r="127" spans="1:8" s="82" customFormat="1">
      <c r="A127" s="77" t="s">
        <v>174</v>
      </c>
      <c r="B127" s="78"/>
      <c r="C127" s="78"/>
      <c r="D127" s="79"/>
      <c r="E127" s="80"/>
      <c r="F127" s="79"/>
      <c r="G127" s="81"/>
    </row>
    <row r="128" spans="1:8">
      <c r="D128" s="243" t="s">
        <v>148</v>
      </c>
      <c r="E128" s="243"/>
      <c r="F128" s="243"/>
      <c r="G128" s="96"/>
      <c r="H128" s="84" t="s">
        <v>149</v>
      </c>
    </row>
    <row r="129" spans="1:8">
      <c r="B129" s="67"/>
      <c r="C129" s="65"/>
      <c r="D129" s="240" t="s">
        <v>164</v>
      </c>
      <c r="E129" s="241"/>
      <c r="F129" s="242"/>
      <c r="G129" s="97"/>
      <c r="H129" s="85" t="s">
        <v>219</v>
      </c>
    </row>
    <row r="130" spans="1:8">
      <c r="B130" s="67"/>
      <c r="C130" s="70" t="s">
        <v>152</v>
      </c>
      <c r="D130" s="66" t="s">
        <v>153</v>
      </c>
      <c r="E130" s="86" t="s">
        <v>154</v>
      </c>
      <c r="F130" s="66" t="s">
        <v>155</v>
      </c>
      <c r="G130" s="66" t="s">
        <v>166</v>
      </c>
      <c r="H130" s="85"/>
    </row>
    <row r="131" spans="1:8" s="182" customFormat="1" ht="27.45" customHeight="1">
      <c r="B131" s="183" t="s">
        <v>175</v>
      </c>
      <c r="C131" s="69" t="s">
        <v>163</v>
      </c>
      <c r="D131" s="184">
        <v>0</v>
      </c>
      <c r="E131" s="184">
        <v>0</v>
      </c>
      <c r="F131" s="184">
        <v>0</v>
      </c>
      <c r="G131" s="185">
        <v>0.49990000000000001</v>
      </c>
      <c r="H131" s="136" t="s">
        <v>173</v>
      </c>
    </row>
    <row r="132" spans="1:8">
      <c r="D132" s="83"/>
      <c r="E132" s="83"/>
      <c r="F132" s="83"/>
      <c r="G132" s="83"/>
    </row>
    <row r="133" spans="1:8" s="82" customFormat="1">
      <c r="A133" s="77" t="s">
        <v>176</v>
      </c>
      <c r="B133" s="78"/>
      <c r="C133" s="78"/>
      <c r="D133" s="79"/>
      <c r="E133" s="80"/>
      <c r="F133" s="79"/>
      <c r="G133" s="81"/>
    </row>
    <row r="134" spans="1:8">
      <c r="D134" s="243" t="s">
        <v>148</v>
      </c>
      <c r="E134" s="243"/>
      <c r="F134" s="243"/>
      <c r="G134" s="96"/>
      <c r="H134" s="84" t="s">
        <v>149</v>
      </c>
    </row>
    <row r="135" spans="1:8">
      <c r="B135" s="67"/>
      <c r="C135" s="65"/>
      <c r="D135" s="240" t="s">
        <v>178</v>
      </c>
      <c r="E135" s="241"/>
      <c r="F135" s="242"/>
      <c r="G135" s="97"/>
      <c r="H135" s="233" t="s">
        <v>219</v>
      </c>
    </row>
    <row r="136" spans="1:8">
      <c r="B136" s="67"/>
      <c r="C136" s="70" t="s">
        <v>152</v>
      </c>
      <c r="D136" s="66" t="s">
        <v>153</v>
      </c>
      <c r="E136" s="86" t="s">
        <v>154</v>
      </c>
      <c r="F136" s="66" t="s">
        <v>155</v>
      </c>
      <c r="G136" s="66" t="s">
        <v>166</v>
      </c>
      <c r="H136" s="234"/>
    </row>
    <row r="137" spans="1:8" ht="24.6">
      <c r="B137" s="101" t="s">
        <v>20</v>
      </c>
      <c r="C137" s="69" t="s">
        <v>179</v>
      </c>
      <c r="D137" s="98">
        <v>0</v>
      </c>
      <c r="E137" s="98">
        <v>55</v>
      </c>
      <c r="F137" s="98">
        <v>0</v>
      </c>
      <c r="G137" s="103">
        <f>(E137*$B$4)+868</f>
        <v>2408</v>
      </c>
      <c r="H137" s="235" t="s">
        <v>177</v>
      </c>
    </row>
    <row r="138" spans="1:8" ht="24.6">
      <c r="B138" s="101" t="s">
        <v>19</v>
      </c>
      <c r="C138" s="69" t="s">
        <v>179</v>
      </c>
      <c r="D138" s="90">
        <v>0</v>
      </c>
      <c r="E138" s="102">
        <v>55</v>
      </c>
      <c r="F138" s="98">
        <v>0</v>
      </c>
      <c r="G138" s="103">
        <f>E138*$B$4+868</f>
        <v>2408</v>
      </c>
      <c r="H138" s="236"/>
    </row>
    <row r="139" spans="1:8" ht="24.6">
      <c r="B139" s="101" t="s">
        <v>21</v>
      </c>
      <c r="C139" s="69" t="s">
        <v>179</v>
      </c>
      <c r="D139" s="90">
        <v>0</v>
      </c>
      <c r="E139" s="102">
        <v>1.5</v>
      </c>
      <c r="F139" s="98">
        <v>0</v>
      </c>
      <c r="G139" s="103">
        <f>E139*$B$4+182</f>
        <v>224</v>
      </c>
      <c r="H139" s="236"/>
    </row>
    <row r="140" spans="1:8" ht="24.6">
      <c r="B140" s="101" t="s">
        <v>22</v>
      </c>
      <c r="C140" s="69" t="s">
        <v>179</v>
      </c>
      <c r="D140" s="90">
        <v>0</v>
      </c>
      <c r="E140" s="102">
        <v>0</v>
      </c>
      <c r="F140" s="98">
        <v>0</v>
      </c>
      <c r="G140" s="103">
        <f t="shared" ref="G137:G144" si="3">E140*$B$4</f>
        <v>0</v>
      </c>
      <c r="H140" s="236"/>
    </row>
    <row r="141" spans="1:8" ht="24.6">
      <c r="B141" s="101" t="s">
        <v>23</v>
      </c>
      <c r="C141" s="69" t="s">
        <v>179</v>
      </c>
      <c r="D141" s="90">
        <v>0</v>
      </c>
      <c r="E141" s="102">
        <v>0</v>
      </c>
      <c r="F141" s="98">
        <v>0</v>
      </c>
      <c r="G141" s="254">
        <f>0.56</f>
        <v>0.56000000000000005</v>
      </c>
      <c r="H141" s="236"/>
    </row>
    <row r="142" spans="1:8" ht="24.6">
      <c r="B142" s="101" t="s">
        <v>60</v>
      </c>
      <c r="C142" s="69" t="s">
        <v>179</v>
      </c>
      <c r="D142" s="90">
        <v>0</v>
      </c>
      <c r="E142" s="102">
        <v>8</v>
      </c>
      <c r="F142" s="98">
        <v>0</v>
      </c>
      <c r="G142" s="103">
        <f t="shared" si="3"/>
        <v>224</v>
      </c>
      <c r="H142" s="236"/>
    </row>
    <row r="143" spans="1:8" ht="24.6">
      <c r="B143" s="101" t="s">
        <v>24</v>
      </c>
      <c r="C143" s="69" t="s">
        <v>179</v>
      </c>
      <c r="D143" s="90">
        <v>0</v>
      </c>
      <c r="E143" s="102">
        <v>5</v>
      </c>
      <c r="F143" s="98">
        <v>0</v>
      </c>
      <c r="G143" s="103">
        <f>E143*$B$4+5.6</f>
        <v>145.6</v>
      </c>
      <c r="H143" s="236"/>
    </row>
    <row r="144" spans="1:8" ht="24.6">
      <c r="B144" s="101" t="s">
        <v>86</v>
      </c>
      <c r="C144" s="69" t="s">
        <v>179</v>
      </c>
      <c r="D144" s="90">
        <v>0</v>
      </c>
      <c r="E144" s="102">
        <v>0</v>
      </c>
      <c r="F144" s="98">
        <v>0</v>
      </c>
      <c r="G144" s="254">
        <v>5.6</v>
      </c>
      <c r="H144" s="237"/>
    </row>
    <row r="145" spans="1:7">
      <c r="D145" s="83"/>
      <c r="E145" s="83"/>
      <c r="F145" s="83"/>
      <c r="G145" s="83"/>
    </row>
    <row r="146" spans="1:7">
      <c r="D146" s="83"/>
      <c r="E146" s="83"/>
      <c r="F146" s="83"/>
      <c r="G146" s="83"/>
    </row>
    <row r="147" spans="1:7" s="82" customFormat="1" ht="15" thickBot="1">
      <c r="A147" s="77" t="s">
        <v>263</v>
      </c>
      <c r="B147" s="78"/>
      <c r="C147" s="78"/>
      <c r="D147" s="79"/>
      <c r="E147" s="80"/>
      <c r="F147" s="81"/>
    </row>
    <row r="148" spans="1:7">
      <c r="A148" s="251" t="s">
        <v>180</v>
      </c>
      <c r="B148" s="252"/>
      <c r="C148" s="252"/>
      <c r="D148" s="253"/>
      <c r="E148" s="110" t="s">
        <v>181</v>
      </c>
      <c r="F148" s="105" t="s">
        <v>182</v>
      </c>
      <c r="G148" s="106"/>
    </row>
    <row r="149" spans="1:7" ht="24">
      <c r="A149" s="107" t="s">
        <v>183</v>
      </c>
      <c r="B149" s="108" t="s">
        <v>184</v>
      </c>
      <c r="C149" s="108"/>
      <c r="D149" s="108"/>
      <c r="E149" s="111">
        <v>0.6</v>
      </c>
      <c r="F149" s="109" t="s">
        <v>185</v>
      </c>
      <c r="G149" s="109"/>
    </row>
    <row r="150" spans="1:7" ht="24">
      <c r="A150" s="107" t="s">
        <v>186</v>
      </c>
      <c r="B150" s="191" t="s">
        <v>187</v>
      </c>
      <c r="C150" s="191"/>
      <c r="D150" s="191"/>
      <c r="E150" s="111">
        <v>0.25</v>
      </c>
      <c r="F150" s="108" t="s">
        <v>185</v>
      </c>
      <c r="G150" s="108"/>
    </row>
    <row r="151" spans="1:7" ht="22.8">
      <c r="A151" s="189" t="s">
        <v>188</v>
      </c>
      <c r="B151" s="186" t="s">
        <v>189</v>
      </c>
      <c r="C151" s="187"/>
      <c r="D151" s="188"/>
      <c r="E151" s="190">
        <v>0.5</v>
      </c>
      <c r="F151" s="109" t="s">
        <v>190</v>
      </c>
      <c r="G151" s="109"/>
    </row>
    <row r="152" spans="1:7" ht="22.8">
      <c r="A152" s="189" t="s">
        <v>191</v>
      </c>
      <c r="B152" s="192" t="s">
        <v>192</v>
      </c>
      <c r="C152" s="193"/>
      <c r="D152" s="194"/>
      <c r="E152" s="190">
        <v>0.8</v>
      </c>
      <c r="F152" s="109" t="s">
        <v>193</v>
      </c>
      <c r="G152" s="109"/>
    </row>
    <row r="153" spans="1:7" ht="22.8">
      <c r="A153" s="189" t="s">
        <v>264</v>
      </c>
      <c r="B153" s="192" t="s">
        <v>194</v>
      </c>
      <c r="C153" s="193"/>
      <c r="D153" s="194"/>
      <c r="E153" s="190">
        <v>0</v>
      </c>
      <c r="F153" s="109" t="s">
        <v>195</v>
      </c>
      <c r="G153" s="109"/>
    </row>
    <row r="154" spans="1:7" ht="22.8">
      <c r="A154" s="189" t="s">
        <v>265</v>
      </c>
      <c r="B154" s="192" t="s">
        <v>199</v>
      </c>
      <c r="C154" s="193"/>
      <c r="D154" s="194"/>
      <c r="E154" s="190">
        <v>181</v>
      </c>
      <c r="F154" s="108" t="s">
        <v>197</v>
      </c>
      <c r="G154" s="108"/>
    </row>
    <row r="155" spans="1:7" ht="22.8">
      <c r="A155" s="189" t="s">
        <v>266</v>
      </c>
      <c r="B155" s="192" t="s">
        <v>200</v>
      </c>
      <c r="C155" s="193"/>
      <c r="D155" s="194"/>
      <c r="E155" s="190">
        <f>E154/(10^6)*1000</f>
        <v>0.18100000000000002</v>
      </c>
      <c r="F155" s="108" t="s">
        <v>197</v>
      </c>
      <c r="G155" s="108"/>
    </row>
    <row r="156" spans="1:7" ht="22.8">
      <c r="A156" s="107" t="s">
        <v>267</v>
      </c>
      <c r="B156" s="192" t="s">
        <v>196</v>
      </c>
      <c r="C156" s="193"/>
      <c r="D156" s="194"/>
      <c r="E156" s="112">
        <v>40</v>
      </c>
      <c r="F156" s="108" t="s">
        <v>197</v>
      </c>
      <c r="G156" s="65"/>
    </row>
    <row r="157" spans="1:7" ht="22.8">
      <c r="A157" s="107" t="s">
        <v>268</v>
      </c>
      <c r="B157" s="186" t="s">
        <v>198</v>
      </c>
      <c r="C157" s="187"/>
      <c r="D157" s="188"/>
      <c r="E157" s="113">
        <f>E156/24</f>
        <v>1.6666666666666667</v>
      </c>
      <c r="F157" s="108" t="s">
        <v>197</v>
      </c>
      <c r="G157" s="65"/>
    </row>
    <row r="158" spans="1:7" ht="22.8">
      <c r="A158" s="107" t="s">
        <v>269</v>
      </c>
      <c r="B158" s="186" t="s">
        <v>270</v>
      </c>
      <c r="C158" s="187"/>
      <c r="D158" s="188"/>
      <c r="E158" s="195">
        <v>0.8</v>
      </c>
      <c r="F158" s="108"/>
      <c r="G158" s="65"/>
    </row>
    <row r="159" spans="1:7" ht="22.8">
      <c r="A159" s="107" t="s">
        <v>271</v>
      </c>
      <c r="B159" s="186" t="s">
        <v>272</v>
      </c>
      <c r="C159" s="187"/>
      <c r="D159" s="188"/>
      <c r="E159" s="113">
        <v>8</v>
      </c>
      <c r="F159" s="108"/>
      <c r="G159" s="65"/>
    </row>
    <row r="160" spans="1:7" ht="22.8">
      <c r="A160" s="107" t="s">
        <v>273</v>
      </c>
      <c r="B160" s="186" t="s">
        <v>274</v>
      </c>
      <c r="C160" s="187"/>
      <c r="D160" s="188"/>
      <c r="E160" s="113">
        <f>((E157*0.5*E159/(1000)*E149*E151)+(E157*0.5*E159/(1000)*E149*E152))*B4</f>
        <v>0.14560000000000001</v>
      </c>
      <c r="F160" s="108"/>
      <c r="G160" s="65"/>
    </row>
    <row r="161" spans="1:7" ht="22.8">
      <c r="A161" s="107" t="s">
        <v>275</v>
      </c>
      <c r="B161" s="186" t="s">
        <v>276</v>
      </c>
      <c r="C161" s="187"/>
      <c r="D161" s="188"/>
      <c r="E161" s="113">
        <f>(E155*E158*0.5*E149*E151+E155*E158*0.5*E149*E152)*B4</f>
        <v>1.581216</v>
      </c>
      <c r="F161" s="108"/>
      <c r="G161" s="65"/>
    </row>
    <row r="162" spans="1:7">
      <c r="D162" s="83"/>
      <c r="E162" s="83"/>
      <c r="F162" s="83"/>
      <c r="G162" s="83"/>
    </row>
    <row r="163" spans="1:7">
      <c r="D163" s="83"/>
      <c r="E163" s="83"/>
      <c r="F163" s="83"/>
      <c r="G163" s="83"/>
    </row>
  </sheetData>
  <mergeCells count="29">
    <mergeCell ref="A148:D148"/>
    <mergeCell ref="D128:F128"/>
    <mergeCell ref="D129:F129"/>
    <mergeCell ref="D134:F134"/>
    <mergeCell ref="D135:F135"/>
    <mergeCell ref="B117:B120"/>
    <mergeCell ref="H117:H120"/>
    <mergeCell ref="C121:G121"/>
    <mergeCell ref="B122:B125"/>
    <mergeCell ref="H122:H125"/>
    <mergeCell ref="A8:A10"/>
    <mergeCell ref="B8:B10"/>
    <mergeCell ref="C8:C10"/>
    <mergeCell ref="D8:G8"/>
    <mergeCell ref="D68:F68"/>
    <mergeCell ref="H135:H136"/>
    <mergeCell ref="H137:H144"/>
    <mergeCell ref="H8:H10"/>
    <mergeCell ref="D54:F54"/>
    <mergeCell ref="D100:F100"/>
    <mergeCell ref="D69:F69"/>
    <mergeCell ref="D79:F79"/>
    <mergeCell ref="D80:F80"/>
    <mergeCell ref="D99:F99"/>
    <mergeCell ref="D105:F105"/>
    <mergeCell ref="D106:F106"/>
    <mergeCell ref="D111:F111"/>
    <mergeCell ref="D112:F112"/>
    <mergeCell ref="C116:G116"/>
  </mergeCells>
  <phoneticPr fontId="28" type="noConversion"/>
  <pageMargins left="0.7" right="0.7" top="0.75" bottom="0.75" header="0.3" footer="0.3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สรุป_Consumption</vt:lpstr>
      <vt:lpstr>สรุป_GHG Emission </vt:lpstr>
      <vt:lpstr>Cal_GHG Emission </vt:lpstr>
      <vt:lpstr>Ref.EF</vt:lpstr>
      <vt:lpstr>'Cal_GHG Emission '!Print_Titles</vt:lpstr>
      <vt:lpstr>สรุป_Consumption!Print_Titles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Nuch</dc:creator>
  <cp:lastModifiedBy>ITTHICHAI PREECHAWUTTIPONG</cp:lastModifiedBy>
  <cp:lastPrinted>2022-11-08T10:16:48Z</cp:lastPrinted>
  <dcterms:created xsi:type="dcterms:W3CDTF">2018-01-26T07:16:26Z</dcterms:created>
  <dcterms:modified xsi:type="dcterms:W3CDTF">2023-10-30T05:00:52Z</dcterms:modified>
</cp:coreProperties>
</file>